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cs2443\Desktop\Web Documents\"/>
    </mc:Choice>
  </mc:AlternateContent>
  <xr:revisionPtr revIDLastSave="0" documentId="8_{7A540E0F-A498-4CDA-BB37-2336FE6A03A7}" xr6:coauthVersionLast="47" xr6:coauthVersionMax="47" xr10:uidLastSave="{00000000-0000-0000-0000-000000000000}"/>
  <workbookProtection workbookAlgorithmName="SHA-512" workbookHashValue="puL1X+EUdHFC5tcoELnMVigFJKgYcsA+IkK+R8mMFGHCKiCMo+0ag6sMkdnEB4f/EU42T667lfY3PhXUrVdR6g==" workbookSaltValue="Kxkh+4CmTgMbte4YcPIwqw==" workbookSpinCount="100000" lockStructure="1"/>
  <bookViews>
    <workbookView xWindow="4365" yWindow="2580" windowWidth="21600" windowHeight="11400" activeTab="2"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R38" i="5" s="1"/>
  <c r="W37" i="5"/>
  <c r="V37" i="5"/>
  <c r="U37" i="5"/>
  <c r="T37" i="5"/>
  <c r="X37" i="5" s="1"/>
  <c r="Q37" i="5"/>
  <c r="P37" i="5"/>
  <c r="O37" i="5"/>
  <c r="N37" i="5"/>
  <c r="R37" i="5" s="1"/>
  <c r="W36" i="5"/>
  <c r="V36" i="5"/>
  <c r="U36" i="5"/>
  <c r="T36" i="5"/>
  <c r="X36" i="5" s="1"/>
  <c r="Q36" i="5"/>
  <c r="P36" i="5"/>
  <c r="O36" i="5"/>
  <c r="N36" i="5"/>
  <c r="R36" i="5" s="1"/>
  <c r="W35" i="5"/>
  <c r="V35" i="5"/>
  <c r="U35" i="5"/>
  <c r="T35" i="5"/>
  <c r="X35" i="5" s="1"/>
  <c r="Q35" i="5"/>
  <c r="P35" i="5"/>
  <c r="O35" i="5"/>
  <c r="N35" i="5"/>
  <c r="R35" i="5" s="1"/>
  <c r="W34" i="5"/>
  <c r="V34" i="5"/>
  <c r="U34" i="5"/>
  <c r="T34" i="5"/>
  <c r="X34" i="5" s="1"/>
  <c r="Q34" i="5"/>
  <c r="P34" i="5"/>
  <c r="O34" i="5"/>
  <c r="N34" i="5"/>
  <c r="R34" i="5" s="1"/>
  <c r="W33" i="5"/>
  <c r="V33" i="5"/>
  <c r="U33" i="5"/>
  <c r="T33" i="5"/>
  <c r="X33" i="5" s="1"/>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R28" i="5" s="1"/>
  <c r="W27" i="5"/>
  <c r="V27" i="5"/>
  <c r="U27" i="5"/>
  <c r="T27" i="5"/>
  <c r="X27" i="5" s="1"/>
  <c r="Q27" i="5"/>
  <c r="P27" i="5"/>
  <c r="O27" i="5"/>
  <c r="N27" i="5"/>
  <c r="R27" i="5" s="1"/>
  <c r="X86" i="5" l="1"/>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W4" i="5" s="1"/>
  <c r="V7" i="5"/>
  <c r="V4" i="5" s="1"/>
  <c r="U7" i="5"/>
  <c r="U4" i="5" s="1"/>
  <c r="T7" i="5"/>
  <c r="T4" i="5" s="1"/>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Q4" i="5" s="1"/>
  <c r="P7" i="5"/>
  <c r="P4" i="5" s="1"/>
  <c r="O7" i="5"/>
  <c r="O4" i="5" s="1"/>
  <c r="N7" i="5"/>
  <c r="N4" i="5" s="1"/>
  <c r="R7" i="5" l="1"/>
  <c r="R4" i="5" s="1"/>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X4" i="5" s="1"/>
  <c r="R11" i="5"/>
  <c r="O14" i="3" l="1"/>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F4" i="5" s="1"/>
  <c r="C5" i="2"/>
  <c r="C9" i="2" l="1"/>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s="1"/>
  <c r="C16" i="2" l="1"/>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<sst xmlns="http://schemas.openxmlformats.org/spreadsheetml/2006/main" count="406" uniqueCount="344">
  <si>
    <t>State Name (choose from drop down list)</t>
  </si>
  <si>
    <t>MONTANA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</si>
  <si>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</si>
  <si>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</si>
  <si>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</si>
  <si>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</si>
  <si>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</si>
  <si>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</si>
  <si>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</si>
  <si>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</si>
  <si>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</si>
  <si>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</si>
  <si>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</si>
  <si>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</si>
  <si>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</si>
  <si>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</si>
  <si>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</si>
  <si>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</si>
  <si>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</si>
  <si>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</si>
  <si>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</si>
  <si>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</si>
  <si>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</si>
  <si>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</si>
  <si>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</si>
  <si>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</si>
  <si>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</si>
  <si>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</si>
  <si>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</si>
  <si>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Maximus</t>
  </si>
  <si>
    <t>Yes</t>
  </si>
  <si>
    <t>E&amp;T Services</t>
  </si>
  <si>
    <t>No</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</si>
  <si>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</si>
  <si>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</si>
  <si>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</si>
  <si>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</si>
  <si>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</si>
  <si>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</si>
  <si>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</si>
  <si>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</si>
  <si>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</si>
  <si>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</si>
  <si>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</si>
  <si>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</si>
  <si>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Missoula, Deer Lodge, Silver Bow, Lewis &amp; Clark, Cascade, Gallatin Counties, plus additional counties to be determined.</t>
  </si>
  <si>
    <t>JST, EPB, WF, EPC, SET, JR, WBLA, EPEL</t>
  </si>
  <si>
    <t xml:space="preserve">Community Action Partnership </t>
  </si>
  <si>
    <t>Flathead/Lincoln Counties</t>
  </si>
  <si>
    <t xml:space="preserve">Human Resource Council, VII </t>
  </si>
  <si>
    <t>Yellowstone/Big Horn Counties</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</si>
  <si>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</si>
  <si>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</si>
  <si>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</si>
  <si>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</si>
  <si>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</si>
  <si>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</si>
  <si>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</si>
  <si>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</si>
  <si>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</si>
  <si>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</si>
  <si>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</si>
  <si>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</si>
  <si>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</si>
  <si>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</si>
  <si>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</si>
  <si>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</si>
  <si>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</si>
  <si>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</si>
  <si>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</si>
  <si>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</si>
  <si>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</si>
  <si>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</si>
  <si>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</si>
  <si>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</si>
  <si>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</si>
  <si>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</si>
  <si>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</si>
  <si>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</si>
  <si>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</si>
  <si>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</si>
  <si>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</si>
  <si>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</si>
  <si>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</si>
  <si>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</si>
  <si>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</si>
  <si>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</si>
  <si>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</si>
  <si>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</si>
  <si>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</si>
  <si>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</si>
  <si>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</si>
  <si>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</si>
  <si>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</si>
  <si>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</si>
  <si>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</si>
  <si>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</si>
  <si>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</si>
  <si>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</si>
  <si>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</si>
  <si>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</si>
  <si>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</si>
  <si>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</si>
  <si>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</si>
  <si>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</si>
  <si>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</si>
  <si>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</si>
  <si>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</si>
  <si>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</si>
  <si>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</si>
  <si>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</si>
  <si>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</si>
  <si>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</si>
  <si>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</si>
  <si>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</si>
  <si>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</si>
  <si>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</si>
  <si>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</si>
  <si>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</si>
  <si>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</si>
  <si>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</si>
  <si>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</si>
  <si>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</si>
  <si>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</si>
  <si>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</si>
  <si>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</si>
  <si>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</si>
  <si>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</si>
  <si>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</si>
  <si>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</si>
  <si>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</si>
  <si>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</si>
  <si>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</si>
  <si>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</si>
  <si>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</si>
  <si>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</si>
  <si>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</si>
  <si>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</si>
  <si>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</si>
  <si>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</si>
  <si>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</si>
  <si>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</si>
  <si>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</si>
  <si>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</si>
  <si>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</si>
  <si>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</si>
  <si>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</si>
  <si>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</si>
  <si>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</si>
  <si>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</si>
  <si>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</si>
  <si>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</si>
  <si>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</si>
  <si>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</si>
  <si>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</si>
  <si>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</si>
  <si>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</si>
  <si>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</si>
  <si>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</si>
  <si>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</si>
  <si>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</si>
  <si>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</si>
  <si>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</si>
  <si>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</si>
  <si>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</si>
  <si>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</si>
  <si>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</si>
  <si>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</si>
  <si>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</si>
  <si>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</si>
  <si>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</si>
  <si>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</si>
  <si>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</si>
  <si>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</si>
  <si>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</si>
  <si>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</si>
  <si>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</si>
  <si>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</si>
  <si>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</si>
  <si>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</si>
  <si>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</si>
  <si>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</si>
  <si>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</si>
  <si>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</si>
  <si>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</si>
  <si>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</si>
  <si>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</si>
  <si>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</si>
  <si>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</si>
  <si>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</si>
  <si>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</si>
  <si>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</si>
  <si>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</si>
  <si>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</si>
  <si>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</si>
  <si>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</si>
  <si>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</si>
  <si>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</si>
  <si>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</si>
  <si>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</si>
  <si>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</si>
  <si>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</si>
  <si>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</si>
  <si>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</si>
  <si>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</si>
  <si>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</si>
  <si>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</si>
  <si>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</si>
  <si>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</si>
  <si>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</si>
  <si>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</si>
  <si>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</si>
  <si>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</si>
  <si>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</si>
  <si>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</si>
  <si>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</si>
  <si>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</si>
  <si>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</si>
  <si>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</si>
  <si>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</si>
  <si>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</si>
  <si>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</si>
  <si>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</si>
  <si>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</si>
  <si>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</si>
  <si>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</si>
  <si>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</si>
  <si>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</si>
  <si>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</si>
  <si>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</si>
  <si>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</si>
  <si>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</si>
  <si>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</si>
  <si>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</si>
  <si>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</si>
  <si>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</si>
  <si>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</si>
  <si>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</si>
  <si>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</si>
  <si>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</si>
  <si>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</si>
  <si>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</si>
  <si>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</si>
  <si>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</si>
  <si>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</si>
  <si>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</si>
  <si>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</si>
  <si>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</si>
  <si>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</si>
  <si>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</si>
  <si>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</si>
  <si>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</si>
  <si>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</si>
  <si>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</si>
  <si>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</si>
  <si>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</si>
  <si>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</si>
  <si>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</si>
  <si>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</si>
  <si>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</si>
  <si>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</si>
  <si>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</si>
  <si>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</si>
  <si>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</si>
  <si>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</si>
  <si>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</si>
  <si>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</si>
  <si>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</si>
  <si>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</si>
  <si>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</si>
  <si>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</si>
  <si>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</si>
  <si>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</si>
  <si>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</si>
  <si>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</si>
  <si>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</si>
  <si>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</si>
  <si>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</si>
  <si>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</si>
  <si>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</si>
  <si>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</si>
  <si>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</si>
  <si>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</si>
  <si>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</si>
  <si>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</si>
  <si>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</si>
  <si>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</si>
  <si>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</si>
  <si>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Internship (WBLI-Sub)</t>
  </si>
  <si>
    <t>If 100 Percent Federal funds are used</t>
  </si>
  <si>
    <t>Attainment of Certificate/Credential</t>
  </si>
  <si>
    <t>State agency</t>
  </si>
  <si>
    <t xml:space="preserve">E&amp;T Provider is employer of record and receives wage subsidy as employer </t>
  </si>
  <si>
    <t>Construction</t>
  </si>
  <si>
    <t>1 month</t>
  </si>
  <si>
    <t>Tab A - Column C - 100% Adm</t>
  </si>
  <si>
    <t>FY2021</t>
  </si>
  <si>
    <t>Pre-Apprenticeship (WBLPA-Sub)</t>
  </si>
  <si>
    <t>If 50/50 Funds are used</t>
  </si>
  <si>
    <t>Basic Skills Gain</t>
  </si>
  <si>
    <t>E&amp;T Provider</t>
  </si>
  <si>
    <t>E&amp;T Provider is Intermediary between SA and 1 or more employers</t>
  </si>
  <si>
    <t>Education</t>
  </si>
  <si>
    <t>2 months</t>
  </si>
  <si>
    <t>Tab B - Federal share State Direct Costs + Indirect less  Non-Fed Share of State Direct Costs and Indirect</t>
  </si>
  <si>
    <t>FY2022</t>
  </si>
  <si>
    <t>Automation/IT</t>
  </si>
  <si>
    <t>Apprenticeship (WBLA-Sub)</t>
  </si>
  <si>
    <t>Industry Skills Gain</t>
  </si>
  <si>
    <t>Worksite Employer</t>
  </si>
  <si>
    <t>SA contracts with both E&amp;T Provider and Employers</t>
  </si>
  <si>
    <t>Foodservice</t>
  </si>
  <si>
    <t>3 months</t>
  </si>
  <si>
    <t>Tab E - Optional County 100% Adm</t>
  </si>
  <si>
    <t>FY2023</t>
  </si>
  <si>
    <t>Marketing</t>
  </si>
  <si>
    <t>Transitional Jobs (WBLTJ-Sub)</t>
  </si>
  <si>
    <t>Healthcare services</t>
  </si>
  <si>
    <t>4 months</t>
  </si>
  <si>
    <t>Total Admin costs to distribute across 100 Percent Federal Funds</t>
  </si>
  <si>
    <t>FY2024</t>
  </si>
  <si>
    <t>Other</t>
  </si>
  <si>
    <t>Landscape and Horticultural</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</si>
  <si>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</si>
  <si>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</si>
  <si>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</si>
  <si>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</si>
  <si>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</si>
  <si>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</si>
  <si>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</si>
  <si>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</si>
  <si>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</si>
  <si>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</si>
  <si>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</si>
  <si>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</si>
  <si>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Multiple Industries</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</si>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</sst>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6">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opLeftCell="C1" zoomScale="120" zoomScaleNormal="120" workbookViewId="0">
      <selection activeCell="E7" sqref="E7"/>
    </sheetView>
  </sheetViews>
  <sheetFormatPr defaultColWidth="8.7109375" defaultRowHeight="15" x14ac:dyDescent="0.25"/>
  <cols>
    <col min="1" max="1" width="35.140625" style="24" customWidth="1"/>
    <col min="2" max="2" width="23.5703125" style="24" customWidth="1"/>
    <col min="3" max="3" width="17.85546875" style="24" customWidth="1"/>
    <col min="4" max="5" width="22.85546875" style="80" customWidth="1"/>
    <col min="6" max="6" width="22.85546875" style="24" customWidth="1"/>
    <col min="7" max="8" width="22.7109375" style="24" customWidth="1"/>
    <col min="9" max="10" width="16.85546875" style="24" customWidth="1"/>
    <col min="11" max="11" width="14.140625" style="107" customWidth="1"/>
    <col min="12" max="13" width="8.7109375" style="24"/>
    <col min="14" max="17" width="13.140625" style="24" customWidth="1"/>
    <col min="18" max="18" width="15.140625" style="24" customWidth="1"/>
    <col min="19" max="19" width="8.7109375" style="24"/>
    <col min="20" max="24" width="13.140625" style="24" customWidth="1"/>
    <col min="25" max="16384" width="8.7109375" style="24"/>
  </cols>
  <sheetData>
    <row r="1" spans="1:24" ht="30" thickBot="1" x14ac:dyDescent="0.3">
      <c r="A1" s="44" t="s">
        <v>0</v>
      </c>
      <c r="B1" s="78" t="s">
        <v>1</v>
      </c>
      <c r="C1" s="79"/>
      <c r="E1" s="81"/>
      <c r="F1" s="39"/>
      <c r="G1" s="39"/>
      <c r="H1" s="39"/>
      <c r="I1" s="40" t="s">
        <v>2</v>
      </c>
      <c r="J1" s="78" t="s">
        <v>3</v>
      </c>
      <c r="K1" s="82"/>
      <c r="N1" s="314" t="s">
        <v>4</v>
      </c>
      <c r="O1" s="315"/>
      <c r="P1" s="315"/>
      <c r="Q1" s="315"/>
      <c r="R1" s="315"/>
      <c r="S1" s="315"/>
      <c r="T1" s="315"/>
      <c r="U1" s="315"/>
      <c r="V1" s="315"/>
      <c r="W1" s="315"/>
      <c r="X1" s="316"/>
    </row>
    <row r="2" spans="1:24" ht="15.75" x14ac:dyDescent="0.25">
      <c r="A2" s="323" t="s">
        <v>5</v>
      </c>
      <c r="B2" s="324"/>
      <c r="C2" s="324"/>
      <c r="D2" s="324"/>
      <c r="E2" s="324"/>
      <c r="F2" s="324"/>
      <c r="G2" s="324"/>
      <c r="H2" s="324"/>
      <c r="I2" s="324"/>
      <c r="J2" s="324"/>
      <c r="K2" s="83"/>
      <c r="N2" s="317" t="s">
        <v>6</v>
      </c>
      <c r="O2" s="318"/>
      <c r="P2" s="318"/>
      <c r="Q2" s="318"/>
      <c r="R2" s="319"/>
      <c r="T2" s="317" t="s">
        <v>7</v>
      </c>
      <c r="U2" s="318"/>
      <c r="V2" s="318"/>
      <c r="W2" s="318"/>
      <c r="X2" s="319"/>
    </row>
    <row r="3" spans="1:24" ht="78.75" customHeight="1" thickBot="1" x14ac:dyDescent="0.3">
      <c r="A3" s="325" t="s">
        <v>8</v>
      </c>
      <c r="B3" s="326"/>
      <c r="C3" s="326"/>
      <c r="D3" s="326"/>
      <c r="E3" s="326"/>
      <c r="F3" s="326"/>
      <c r="G3" s="326"/>
      <c r="H3" s="326"/>
      <c r="I3" s="326"/>
      <c r="J3" s="326"/>
      <c r="K3" s="327"/>
      <c r="N3" s="320" t="s">
        <v>9</v>
      </c>
      <c r="O3" s="321"/>
      <c r="P3" s="321"/>
      <c r="Q3" s="321"/>
      <c r="R3" s="322"/>
      <c r="T3" s="320" t="s">
        <v>10</v>
      </c>
      <c r="U3" s="321"/>
      <c r="V3" s="321"/>
      <c r="W3" s="321"/>
      <c r="X3" s="322"/>
    </row>
    <row r="4" spans="1:24" s="188" customFormat="1" ht="18" customHeight="1" x14ac:dyDescent="0.25">
      <c r="A4" s="189" t="s">
        <v>11</v>
      </c>
      <c r="B4" s="186"/>
      <c r="C4" s="186"/>
      <c r="D4" s="190">
        <f>SUM(D7:D103)</f>
        <v>91719.08</v>
      </c>
      <c r="E4" s="190">
        <f t="shared" ref="E4:H4" si="0">SUM(E7:E103)</f>
        <v>400000</v>
      </c>
      <c r="F4" s="190">
        <f t="shared" si="0"/>
        <v>491719.08</v>
      </c>
      <c r="G4" s="190">
        <f t="shared" si="0"/>
        <v>180000</v>
      </c>
      <c r="H4" s="190">
        <f t="shared" si="0"/>
        <v>671719.08000000007</v>
      </c>
      <c r="I4" s="186"/>
      <c r="J4" s="190">
        <f>SUM(J7:J103)</f>
        <v>1360</v>
      </c>
      <c r="K4" s="187"/>
      <c r="N4" s="190">
        <f t="shared" ref="N4:R4" si="1">SUM(N7:N103)</f>
        <v>0</v>
      </c>
      <c r="O4" s="190">
        <f t="shared" si="1"/>
        <v>0</v>
      </c>
      <c r="P4" s="190">
        <f t="shared" si="1"/>
        <v>200000</v>
      </c>
      <c r="Q4" s="190">
        <f t="shared" si="1"/>
        <v>200000</v>
      </c>
      <c r="R4" s="190">
        <f t="shared" si="1"/>
        <v>400000</v>
      </c>
      <c r="T4" s="190">
        <f t="shared" ref="T4:X4" si="2">SUM(T7:T103)</f>
        <v>0</v>
      </c>
      <c r="U4" s="190">
        <f t="shared" si="2"/>
        <v>0</v>
      </c>
      <c r="V4" s="190">
        <f t="shared" si="2"/>
        <v>90000</v>
      </c>
      <c r="W4" s="190">
        <f t="shared" si="2"/>
        <v>90000</v>
      </c>
      <c r="X4" s="190">
        <f t="shared" si="2"/>
        <v>180000</v>
      </c>
    </row>
    <row r="5" spans="1:24" ht="18" customHeight="1" x14ac:dyDescent="0.25">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30</v>
      </c>
      <c r="C7" s="93" t="s">
        <v>31</v>
      </c>
      <c r="D7" s="94">
        <v>91719.08</v>
      </c>
      <c r="E7" s="94">
        <v>400000</v>
      </c>
      <c r="F7" s="88">
        <f>SUM(D7:E7)</f>
        <v>491719.08</v>
      </c>
      <c r="G7" s="94">
        <v>180000</v>
      </c>
      <c r="H7" s="88">
        <f>SUM(F7:G7)</f>
        <v>671719.08000000007</v>
      </c>
      <c r="I7" s="89">
        <f>SUM(H7/'B - Operating Budget'!$D$40)</f>
        <v>0.85340141378311496</v>
      </c>
      <c r="J7" s="95">
        <v>1360</v>
      </c>
      <c r="K7" s="96" t="s">
        <v>32</v>
      </c>
      <c r="N7" s="90">
        <f>IF($K7="yes",SUM($E7*0.75),0)</f>
        <v>0</v>
      </c>
      <c r="O7" s="91">
        <f>IF($K7="yes",SUM($E7*0.25),0)</f>
        <v>0</v>
      </c>
      <c r="P7" s="91">
        <f>IF($K7="no",SUM($E7*0.5),0)</f>
        <v>200000</v>
      </c>
      <c r="Q7" s="91">
        <f>IF($K7="no",SUM($E7*0.5),0)</f>
        <v>200000</v>
      </c>
      <c r="R7" s="91">
        <f>SUM(N7:Q7)</f>
        <v>400000</v>
      </c>
      <c r="T7" s="91">
        <f>IF($K7="yes",SUM($G7*0.75),0)</f>
        <v>0</v>
      </c>
      <c r="U7" s="91">
        <f>IF($K7="yes",SUM($G7*0.25),0)</f>
        <v>0</v>
      </c>
      <c r="V7" s="91">
        <f>IF($K7="no",SUM($G7*0.5),0)</f>
        <v>90000</v>
      </c>
      <c r="W7" s="91">
        <f>IF($K7="no",SUM($G7*0.5),0)</f>
        <v>90000</v>
      </c>
      <c r="X7" s="92">
        <f>SUM(T7:W7)</f>
        <v>180000</v>
      </c>
    </row>
    <row r="8" spans="1:24" x14ac:dyDescent="0.25">
      <c r="A8" s="97"/>
      <c r="B8" s="93"/>
      <c r="C8" s="93"/>
      <c r="D8" s="94"/>
      <c r="E8" s="94"/>
      <c r="F8" s="88">
        <f>SUM(D8:E8)</f>
        <v>0</v>
      </c>
      <c r="G8" s="94"/>
      <c r="H8" s="88">
        <f t="shared" ref="H8:H103" si="3">SUM(F8:G8)</f>
        <v>0</v>
      </c>
      <c r="I8" s="89">
        <f>SUM(H8/'B - Operating Budget'!$D$40)</f>
        <v>0</v>
      </c>
      <c r="J8" s="95"/>
      <c r="K8" s="96"/>
      <c r="N8" s="90">
        <f t="shared" ref="N8:N103" si="4">IF($K8="yes",SUM($E8*0.75),0)</f>
        <v>0</v>
      </c>
      <c r="O8" s="91">
        <f t="shared" ref="O8:O103" si="5">IF($K8="yes",SUM($E8*0.25),0)</f>
        <v>0</v>
      </c>
      <c r="P8" s="91">
        <f t="shared" ref="P8:Q23" si="6">IF($K8="no",SUM($E8*0.5),0)</f>
        <v>0</v>
      </c>
      <c r="Q8" s="91">
        <f t="shared" si="6"/>
        <v>0</v>
      </c>
      <c r="R8" s="91">
        <f t="shared" ref="R8:R19" si="7">SUM(N8:Q8)</f>
        <v>0</v>
      </c>
      <c r="T8" s="91">
        <f t="shared" ref="T8:T103" si="8">IF($K8="yes",SUM($G8*0.75),0)</f>
        <v>0</v>
      </c>
      <c r="U8" s="91">
        <f t="shared" ref="U8:U103" si="9">IF($K8="yes",SUM($G8*0.25),0)</f>
        <v>0</v>
      </c>
      <c r="V8" s="91">
        <f t="shared" ref="V8:W72" si="10">IF($K8="no",SUM($G8*0.5),0)</f>
        <v>0</v>
      </c>
      <c r="W8" s="91">
        <f t="shared" si="10"/>
        <v>0</v>
      </c>
      <c r="X8" s="92">
        <f t="shared" ref="X8:X103" si="11">SUM(T8:W8)</f>
        <v>0</v>
      </c>
    </row>
    <row r="9" spans="1:24" x14ac:dyDescent="0.25">
      <c r="A9" s="97"/>
      <c r="B9" s="93"/>
      <c r="C9" s="93"/>
      <c r="D9" s="94"/>
      <c r="E9" s="94"/>
      <c r="F9" s="88">
        <f t="shared" ref="F9:F103" si="12">SUM(D9:E9)</f>
        <v>0</v>
      </c>
      <c r="G9" s="94"/>
      <c r="H9" s="88">
        <f t="shared" si="3"/>
        <v>0</v>
      </c>
      <c r="I9" s="89">
        <f>SUM(H9/'B - Operating Budget'!$D$40)</f>
        <v>0</v>
      </c>
      <c r="J9" s="95"/>
      <c r="K9" s="96"/>
      <c r="N9" s="90">
        <f t="shared" si="4"/>
        <v>0</v>
      </c>
      <c r="O9" s="91">
        <f t="shared" si="5"/>
        <v>0</v>
      </c>
      <c r="P9" s="91">
        <f t="shared" si="6"/>
        <v>0</v>
      </c>
      <c r="Q9" s="91">
        <f t="shared" si="6"/>
        <v>0</v>
      </c>
      <c r="R9" s="91">
        <f t="shared" si="7"/>
        <v>0</v>
      </c>
      <c r="T9" s="91">
        <f t="shared" si="8"/>
        <v>0</v>
      </c>
      <c r="U9" s="91">
        <f t="shared" si="9"/>
        <v>0</v>
      </c>
      <c r="V9" s="91">
        <f t="shared" si="10"/>
        <v>0</v>
      </c>
      <c r="W9" s="91">
        <f t="shared" si="10"/>
        <v>0</v>
      </c>
      <c r="X9" s="92">
        <f t="shared" si="11"/>
        <v>0</v>
      </c>
    </row>
    <row r="10" spans="1:24" x14ac:dyDescent="0.25">
      <c r="A10" s="97"/>
      <c r="B10" s="93"/>
      <c r="C10" s="93"/>
      <c r="D10" s="94"/>
      <c r="E10" s="94"/>
      <c r="F10" s="88">
        <f t="shared" si="12"/>
        <v>0</v>
      </c>
      <c r="G10" s="94"/>
      <c r="H10" s="88">
        <f t="shared" si="3"/>
        <v>0</v>
      </c>
      <c r="I10" s="89">
        <f>SUM(H10/'B - Operating Budget'!$D$40)</f>
        <v>0</v>
      </c>
      <c r="J10" s="95"/>
      <c r="K10" s="96"/>
      <c r="N10" s="90">
        <f t="shared" si="4"/>
        <v>0</v>
      </c>
      <c r="O10" s="91">
        <f t="shared" si="5"/>
        <v>0</v>
      </c>
      <c r="P10" s="91">
        <f t="shared" si="6"/>
        <v>0</v>
      </c>
      <c r="Q10" s="91">
        <f t="shared" si="6"/>
        <v>0</v>
      </c>
      <c r="R10" s="91">
        <f t="shared" si="7"/>
        <v>0</v>
      </c>
      <c r="T10" s="91">
        <f t="shared" si="8"/>
        <v>0</v>
      </c>
      <c r="U10" s="91">
        <f t="shared" si="9"/>
        <v>0</v>
      </c>
      <c r="V10" s="91">
        <f t="shared" si="10"/>
        <v>0</v>
      </c>
      <c r="W10" s="91">
        <f t="shared" si="10"/>
        <v>0</v>
      </c>
      <c r="X10" s="92">
        <f t="shared" si="11"/>
        <v>0</v>
      </c>
    </row>
    <row r="11" spans="1:24" x14ac:dyDescent="0.25">
      <c r="A11" s="97"/>
      <c r="B11" s="93"/>
      <c r="C11" s="93"/>
      <c r="D11" s="94"/>
      <c r="E11" s="94"/>
      <c r="F11" s="88">
        <f t="shared" si="12"/>
        <v>0</v>
      </c>
      <c r="G11" s="94"/>
      <c r="H11" s="88">
        <f t="shared" si="3"/>
        <v>0</v>
      </c>
      <c r="I11" s="89">
        <f>SUM(H11/'B - Operating Budget'!$D$40)</f>
        <v>0</v>
      </c>
      <c r="J11" s="95"/>
      <c r="K11" s="96"/>
      <c r="N11" s="90">
        <f t="shared" si="4"/>
        <v>0</v>
      </c>
      <c r="O11" s="91">
        <f t="shared" si="5"/>
        <v>0</v>
      </c>
      <c r="P11" s="91">
        <f t="shared" si="6"/>
        <v>0</v>
      </c>
      <c r="Q11" s="91">
        <f t="shared" si="6"/>
        <v>0</v>
      </c>
      <c r="R11" s="91">
        <f t="shared" si="7"/>
        <v>0</v>
      </c>
      <c r="T11" s="91">
        <f t="shared" si="8"/>
        <v>0</v>
      </c>
      <c r="U11" s="91">
        <f t="shared" si="9"/>
        <v>0</v>
      </c>
      <c r="V11" s="91">
        <f t="shared" si="10"/>
        <v>0</v>
      </c>
      <c r="W11" s="91">
        <f t="shared" si="10"/>
        <v>0</v>
      </c>
      <c r="X11" s="92">
        <f t="shared" si="11"/>
        <v>0</v>
      </c>
    </row>
    <row r="12" spans="1:24" x14ac:dyDescent="0.25">
      <c r="A12" s="97"/>
      <c r="B12" s="93"/>
      <c r="C12" s="93"/>
      <c r="D12" s="94"/>
      <c r="E12" s="94"/>
      <c r="F12" s="88">
        <f t="shared" si="12"/>
        <v>0</v>
      </c>
      <c r="G12" s="94"/>
      <c r="H12" s="88">
        <f t="shared" si="3"/>
        <v>0</v>
      </c>
      <c r="I12" s="89">
        <f>SUM(H12/'B - Operating Budget'!$D$40)</f>
        <v>0</v>
      </c>
      <c r="J12" s="95"/>
      <c r="K12" s="96"/>
      <c r="N12" s="90">
        <f t="shared" si="4"/>
        <v>0</v>
      </c>
      <c r="O12" s="91">
        <f t="shared" si="5"/>
        <v>0</v>
      </c>
      <c r="P12" s="91">
        <f t="shared" si="6"/>
        <v>0</v>
      </c>
      <c r="Q12" s="91">
        <f t="shared" si="6"/>
        <v>0</v>
      </c>
      <c r="R12" s="91">
        <f t="shared" si="7"/>
        <v>0</v>
      </c>
      <c r="T12" s="91">
        <f t="shared" si="8"/>
        <v>0</v>
      </c>
      <c r="U12" s="91">
        <f t="shared" si="9"/>
        <v>0</v>
      </c>
      <c r="V12" s="91">
        <f t="shared" si="10"/>
        <v>0</v>
      </c>
      <c r="W12" s="91">
        <f t="shared" si="10"/>
        <v>0</v>
      </c>
      <c r="X12" s="92">
        <f t="shared" si="11"/>
        <v>0</v>
      </c>
    </row>
    <row r="13" spans="1:24" x14ac:dyDescent="0.25">
      <c r="A13" s="97"/>
      <c r="B13" s="93"/>
      <c r="C13" s="93"/>
      <c r="D13" s="94"/>
      <c r="E13" s="94"/>
      <c r="F13" s="88">
        <f t="shared" si="12"/>
        <v>0</v>
      </c>
      <c r="G13" s="94"/>
      <c r="H13" s="88">
        <f t="shared" si="3"/>
        <v>0</v>
      </c>
      <c r="I13" s="89">
        <f>SUM(H13/'B - Operating Budget'!$D$40)</f>
        <v>0</v>
      </c>
      <c r="J13" s="95"/>
      <c r="K13" s="96"/>
      <c r="N13" s="90">
        <f t="shared" si="4"/>
        <v>0</v>
      </c>
      <c r="O13" s="91">
        <f t="shared" si="5"/>
        <v>0</v>
      </c>
      <c r="P13" s="91">
        <f t="shared" si="6"/>
        <v>0</v>
      </c>
      <c r="Q13" s="91">
        <f t="shared" si="6"/>
        <v>0</v>
      </c>
      <c r="R13" s="91">
        <f t="shared" si="7"/>
        <v>0</v>
      </c>
      <c r="T13" s="91">
        <f t="shared" si="8"/>
        <v>0</v>
      </c>
      <c r="U13" s="91">
        <f t="shared" si="9"/>
        <v>0</v>
      </c>
      <c r="V13" s="91">
        <f t="shared" si="10"/>
        <v>0</v>
      </c>
      <c r="W13" s="91">
        <f t="shared" si="10"/>
        <v>0</v>
      </c>
      <c r="X13" s="92">
        <f t="shared" si="11"/>
        <v>0</v>
      </c>
    </row>
    <row r="14" spans="1:24" x14ac:dyDescent="0.25">
      <c r="A14" s="97"/>
      <c r="B14" s="93"/>
      <c r="C14" s="93"/>
      <c r="D14" s="94"/>
      <c r="E14" s="94"/>
      <c r="F14" s="88">
        <f t="shared" si="12"/>
        <v>0</v>
      </c>
      <c r="G14" s="94"/>
      <c r="H14" s="88">
        <f t="shared" si="3"/>
        <v>0</v>
      </c>
      <c r="I14" s="89">
        <f>SUM(H14/'B - Operating Budget'!$D$40)</f>
        <v>0</v>
      </c>
      <c r="J14" s="95"/>
      <c r="K14" s="96"/>
      <c r="N14" s="90">
        <f t="shared" si="4"/>
        <v>0</v>
      </c>
      <c r="O14" s="91">
        <f t="shared" si="5"/>
        <v>0</v>
      </c>
      <c r="P14" s="91">
        <f t="shared" si="6"/>
        <v>0</v>
      </c>
      <c r="Q14" s="91">
        <f t="shared" si="6"/>
        <v>0</v>
      </c>
      <c r="R14" s="91">
        <f t="shared" si="7"/>
        <v>0</v>
      </c>
      <c r="T14" s="91">
        <f t="shared" si="8"/>
        <v>0</v>
      </c>
      <c r="U14" s="91">
        <f t="shared" si="9"/>
        <v>0</v>
      </c>
      <c r="V14" s="91">
        <f t="shared" si="10"/>
        <v>0</v>
      </c>
      <c r="W14" s="91">
        <f t="shared" si="10"/>
        <v>0</v>
      </c>
      <c r="X14" s="92">
        <f t="shared" si="11"/>
        <v>0</v>
      </c>
    </row>
    <row r="15" spans="1:24" x14ac:dyDescent="0.25">
      <c r="A15" s="97"/>
      <c r="B15" s="93"/>
      <c r="C15" s="93"/>
      <c r="D15" s="94"/>
      <c r="E15" s="94"/>
      <c r="F15" s="88">
        <f t="shared" si="12"/>
        <v>0</v>
      </c>
      <c r="G15" s="94"/>
      <c r="H15" s="88">
        <f t="shared" si="3"/>
        <v>0</v>
      </c>
      <c r="I15" s="89">
        <f>SUM(H15/'B - Operating Budget'!$D$40)</f>
        <v>0</v>
      </c>
      <c r="J15" s="95"/>
      <c r="K15" s="96"/>
      <c r="N15" s="90">
        <f t="shared" si="4"/>
        <v>0</v>
      </c>
      <c r="O15" s="91">
        <f t="shared" si="5"/>
        <v>0</v>
      </c>
      <c r="P15" s="91">
        <f t="shared" si="6"/>
        <v>0</v>
      </c>
      <c r="Q15" s="91">
        <f t="shared" si="6"/>
        <v>0</v>
      </c>
      <c r="R15" s="91">
        <f t="shared" si="7"/>
        <v>0</v>
      </c>
      <c r="T15" s="91">
        <f t="shared" si="8"/>
        <v>0</v>
      </c>
      <c r="U15" s="91">
        <f t="shared" si="9"/>
        <v>0</v>
      </c>
      <c r="V15" s="91">
        <f t="shared" si="10"/>
        <v>0</v>
      </c>
      <c r="W15" s="91">
        <f t="shared" si="10"/>
        <v>0</v>
      </c>
      <c r="X15" s="92">
        <f t="shared" si="11"/>
        <v>0</v>
      </c>
    </row>
    <row r="16" spans="1:24" x14ac:dyDescent="0.25">
      <c r="A16" s="98"/>
      <c r="B16" s="99"/>
      <c r="C16" s="99"/>
      <c r="D16" s="100"/>
      <c r="E16" s="100"/>
      <c r="F16" s="88">
        <f t="shared" si="12"/>
        <v>0</v>
      </c>
      <c r="G16" s="94"/>
      <c r="H16" s="88">
        <f t="shared" si="3"/>
        <v>0</v>
      </c>
      <c r="I16" s="89">
        <f>SUM(H16/'B - Operating Budget'!$D$40)</f>
        <v>0</v>
      </c>
      <c r="J16" s="95"/>
      <c r="K16" s="96"/>
      <c r="N16" s="90">
        <f t="shared" si="4"/>
        <v>0</v>
      </c>
      <c r="O16" s="91">
        <f t="shared" si="5"/>
        <v>0</v>
      </c>
      <c r="P16" s="91">
        <f t="shared" si="6"/>
        <v>0</v>
      </c>
      <c r="Q16" s="91">
        <f t="shared" si="6"/>
        <v>0</v>
      </c>
      <c r="R16" s="91">
        <f t="shared" si="7"/>
        <v>0</v>
      </c>
      <c r="T16" s="91">
        <f t="shared" si="8"/>
        <v>0</v>
      </c>
      <c r="U16" s="91">
        <f t="shared" si="9"/>
        <v>0</v>
      </c>
      <c r="V16" s="91">
        <f t="shared" si="10"/>
        <v>0</v>
      </c>
      <c r="W16" s="91">
        <f t="shared" si="10"/>
        <v>0</v>
      </c>
      <c r="X16" s="92">
        <f t="shared" si="11"/>
        <v>0</v>
      </c>
    </row>
    <row r="17" spans="1:24" x14ac:dyDescent="0.25">
      <c r="A17" s="97"/>
      <c r="B17" s="93"/>
      <c r="C17" s="93"/>
      <c r="D17" s="94"/>
      <c r="E17" s="94"/>
      <c r="F17" s="88">
        <f t="shared" si="12"/>
        <v>0</v>
      </c>
      <c r="G17" s="94"/>
      <c r="H17" s="88">
        <f t="shared" si="3"/>
        <v>0</v>
      </c>
      <c r="I17" s="89">
        <f>SUM(H17/'B - Operating Budget'!$D$40)</f>
        <v>0</v>
      </c>
      <c r="J17" s="95"/>
      <c r="K17" s="96"/>
      <c r="N17" s="90">
        <f t="shared" si="4"/>
        <v>0</v>
      </c>
      <c r="O17" s="91">
        <f t="shared" si="5"/>
        <v>0</v>
      </c>
      <c r="P17" s="91">
        <f t="shared" si="6"/>
        <v>0</v>
      </c>
      <c r="Q17" s="91">
        <f t="shared" si="6"/>
        <v>0</v>
      </c>
      <c r="R17" s="91">
        <f t="shared" si="7"/>
        <v>0</v>
      </c>
      <c r="T17" s="91">
        <f t="shared" si="8"/>
        <v>0</v>
      </c>
      <c r="U17" s="91">
        <f t="shared" si="9"/>
        <v>0</v>
      </c>
      <c r="V17" s="91">
        <f t="shared" si="10"/>
        <v>0</v>
      </c>
      <c r="W17" s="91">
        <f t="shared" si="10"/>
        <v>0</v>
      </c>
      <c r="X17" s="92">
        <f t="shared" si="11"/>
        <v>0</v>
      </c>
    </row>
    <row r="18" spans="1:24" x14ac:dyDescent="0.25">
      <c r="A18" s="97"/>
      <c r="B18" s="93"/>
      <c r="C18" s="93"/>
      <c r="D18" s="94"/>
      <c r="E18" s="94"/>
      <c r="F18" s="88">
        <f t="shared" si="12"/>
        <v>0</v>
      </c>
      <c r="G18" s="94"/>
      <c r="H18" s="88">
        <f t="shared" si="3"/>
        <v>0</v>
      </c>
      <c r="I18" s="89">
        <f>SUM(H18/'B - Operating Budget'!$D$40)</f>
        <v>0</v>
      </c>
      <c r="J18" s="95"/>
      <c r="K18" s="96"/>
      <c r="N18" s="90">
        <f t="shared" si="4"/>
        <v>0</v>
      </c>
      <c r="O18" s="91">
        <f t="shared" si="5"/>
        <v>0</v>
      </c>
      <c r="P18" s="91">
        <f t="shared" si="6"/>
        <v>0</v>
      </c>
      <c r="Q18" s="91">
        <f t="shared" si="6"/>
        <v>0</v>
      </c>
      <c r="R18" s="91">
        <f t="shared" si="7"/>
        <v>0</v>
      </c>
      <c r="T18" s="91">
        <f t="shared" si="8"/>
        <v>0</v>
      </c>
      <c r="U18" s="91">
        <f t="shared" si="9"/>
        <v>0</v>
      </c>
      <c r="V18" s="91">
        <f t="shared" si="10"/>
        <v>0</v>
      </c>
      <c r="W18" s="91">
        <f t="shared" si="10"/>
        <v>0</v>
      </c>
      <c r="X18" s="92">
        <f t="shared" si="11"/>
        <v>0</v>
      </c>
    </row>
    <row r="19" spans="1:24" x14ac:dyDescent="0.25">
      <c r="A19" s="97"/>
      <c r="B19" s="93"/>
      <c r="C19" s="93"/>
      <c r="D19" s="94"/>
      <c r="E19" s="94"/>
      <c r="F19" s="88">
        <f t="shared" si="12"/>
        <v>0</v>
      </c>
      <c r="G19" s="94"/>
      <c r="H19" s="88">
        <f t="shared" si="3"/>
        <v>0</v>
      </c>
      <c r="I19" s="89">
        <f>SUM(H19/'B - Operating Budget'!$D$40)</f>
        <v>0</v>
      </c>
      <c r="J19" s="95"/>
      <c r="K19" s="96"/>
      <c r="N19" s="90">
        <f t="shared" si="4"/>
        <v>0</v>
      </c>
      <c r="O19" s="91">
        <f t="shared" si="5"/>
        <v>0</v>
      </c>
      <c r="P19" s="91">
        <f t="shared" si="6"/>
        <v>0</v>
      </c>
      <c r="Q19" s="91">
        <f t="shared" si="6"/>
        <v>0</v>
      </c>
      <c r="R19" s="91">
        <f t="shared" si="7"/>
        <v>0</v>
      </c>
      <c r="T19" s="91">
        <f t="shared" si="8"/>
        <v>0</v>
      </c>
      <c r="U19" s="91">
        <f t="shared" si="9"/>
        <v>0</v>
      </c>
      <c r="V19" s="91">
        <f t="shared" si="10"/>
        <v>0</v>
      </c>
      <c r="W19" s="91">
        <f t="shared" si="10"/>
        <v>0</v>
      </c>
      <c r="X19" s="92">
        <f t="shared" si="11"/>
        <v>0</v>
      </c>
    </row>
    <row r="20" spans="1:24" x14ac:dyDescent="0.25">
      <c r="A20" s="97"/>
      <c r="B20" s="93"/>
      <c r="C20" s="93"/>
      <c r="D20" s="94"/>
      <c r="E20" s="94"/>
      <c r="F20" s="88">
        <f t="shared" si="12"/>
        <v>0</v>
      </c>
      <c r="G20" s="94"/>
      <c r="H20" s="88">
        <f t="shared" si="3"/>
        <v>0</v>
      </c>
      <c r="I20" s="89">
        <f>SUM(H20/'B - Operating Budget'!$D$40)</f>
        <v>0</v>
      </c>
      <c r="J20" s="95"/>
      <c r="K20" s="96"/>
      <c r="N20" s="90">
        <f t="shared" si="4"/>
        <v>0</v>
      </c>
      <c r="O20" s="91">
        <f t="shared" si="5"/>
        <v>0</v>
      </c>
      <c r="P20" s="91">
        <f t="shared" si="6"/>
        <v>0</v>
      </c>
      <c r="Q20" s="91">
        <f t="shared" si="6"/>
        <v>0</v>
      </c>
      <c r="R20" s="91">
        <f t="shared" ref="R20:R103" si="13">SUM(N20:Q20)</f>
        <v>0</v>
      </c>
      <c r="T20" s="91">
        <f t="shared" si="8"/>
        <v>0</v>
      </c>
      <c r="U20" s="91">
        <f t="shared" si="9"/>
        <v>0</v>
      </c>
      <c r="V20" s="91">
        <f t="shared" si="10"/>
        <v>0</v>
      </c>
      <c r="W20" s="91">
        <f t="shared" si="10"/>
        <v>0</v>
      </c>
      <c r="X20" s="92">
        <f t="shared" si="11"/>
        <v>0</v>
      </c>
    </row>
    <row r="21" spans="1:24" x14ac:dyDescent="0.25">
      <c r="A21" s="97"/>
      <c r="B21" s="93"/>
      <c r="C21" s="93"/>
      <c r="D21" s="94"/>
      <c r="E21" s="94"/>
      <c r="F21" s="88">
        <f t="shared" si="12"/>
        <v>0</v>
      </c>
      <c r="G21" s="94"/>
      <c r="H21" s="88">
        <f t="shared" si="3"/>
        <v>0</v>
      </c>
      <c r="I21" s="89">
        <f>SUM(H21/'B - Operating Budget'!$D$40)</f>
        <v>0</v>
      </c>
      <c r="J21" s="95"/>
      <c r="K21" s="96"/>
      <c r="N21" s="90">
        <f t="shared" si="4"/>
        <v>0</v>
      </c>
      <c r="O21" s="91">
        <f t="shared" si="5"/>
        <v>0</v>
      </c>
      <c r="P21" s="91">
        <f t="shared" si="6"/>
        <v>0</v>
      </c>
      <c r="Q21" s="91">
        <f t="shared" si="6"/>
        <v>0</v>
      </c>
      <c r="R21" s="91">
        <f t="shared" si="13"/>
        <v>0</v>
      </c>
      <c r="T21" s="91">
        <f t="shared" si="8"/>
        <v>0</v>
      </c>
      <c r="U21" s="91">
        <f t="shared" si="9"/>
        <v>0</v>
      </c>
      <c r="V21" s="91">
        <f t="shared" si="10"/>
        <v>0</v>
      </c>
      <c r="W21" s="91">
        <f t="shared" si="10"/>
        <v>0</v>
      </c>
      <c r="X21" s="92">
        <f t="shared" si="11"/>
        <v>0</v>
      </c>
    </row>
    <row r="22" spans="1:24" x14ac:dyDescent="0.25">
      <c r="A22" s="97"/>
      <c r="B22" s="93"/>
      <c r="C22" s="93"/>
      <c r="D22" s="94"/>
      <c r="E22" s="94"/>
      <c r="F22" s="88">
        <f t="shared" si="12"/>
        <v>0</v>
      </c>
      <c r="G22" s="94"/>
      <c r="H22" s="88">
        <f t="shared" si="3"/>
        <v>0</v>
      </c>
      <c r="I22" s="89">
        <f>SUM(H22/'B - Operating Budget'!$D$40)</f>
        <v>0</v>
      </c>
      <c r="J22" s="95"/>
      <c r="K22" s="96"/>
      <c r="N22" s="90">
        <f t="shared" si="4"/>
        <v>0</v>
      </c>
      <c r="O22" s="91">
        <f t="shared" si="5"/>
        <v>0</v>
      </c>
      <c r="P22" s="91">
        <f t="shared" si="6"/>
        <v>0</v>
      </c>
      <c r="Q22" s="91">
        <f t="shared" si="6"/>
        <v>0</v>
      </c>
      <c r="R22" s="91">
        <f t="shared" si="13"/>
        <v>0</v>
      </c>
      <c r="T22" s="91">
        <f t="shared" si="8"/>
        <v>0</v>
      </c>
      <c r="U22" s="91">
        <f t="shared" si="9"/>
        <v>0</v>
      </c>
      <c r="V22" s="91">
        <f t="shared" si="10"/>
        <v>0</v>
      </c>
      <c r="W22" s="91">
        <f t="shared" si="10"/>
        <v>0</v>
      </c>
      <c r="X22" s="92">
        <f t="shared" si="11"/>
        <v>0</v>
      </c>
    </row>
    <row r="23" spans="1:24" x14ac:dyDescent="0.25">
      <c r="A23" s="97"/>
      <c r="B23" s="93"/>
      <c r="C23" s="93"/>
      <c r="D23" s="94"/>
      <c r="E23" s="94"/>
      <c r="F23" s="88">
        <f t="shared" si="12"/>
        <v>0</v>
      </c>
      <c r="G23" s="94"/>
      <c r="H23" s="88">
        <f t="shared" si="3"/>
        <v>0</v>
      </c>
      <c r="I23" s="89">
        <f>SUM(H23/'B - Operating Budget'!$D$40)</f>
        <v>0</v>
      </c>
      <c r="J23" s="95"/>
      <c r="K23" s="96"/>
      <c r="N23" s="90">
        <f t="shared" si="4"/>
        <v>0</v>
      </c>
      <c r="O23" s="91">
        <f t="shared" si="5"/>
        <v>0</v>
      </c>
      <c r="P23" s="91">
        <f t="shared" si="6"/>
        <v>0</v>
      </c>
      <c r="Q23" s="91">
        <f t="shared" si="6"/>
        <v>0</v>
      </c>
      <c r="R23" s="91">
        <f t="shared" si="13"/>
        <v>0</v>
      </c>
      <c r="T23" s="91">
        <f t="shared" si="8"/>
        <v>0</v>
      </c>
      <c r="U23" s="91">
        <f t="shared" si="9"/>
        <v>0</v>
      </c>
      <c r="V23" s="91">
        <f t="shared" si="10"/>
        <v>0</v>
      </c>
      <c r="W23" s="91">
        <f t="shared" si="10"/>
        <v>0</v>
      </c>
      <c r="X23" s="92">
        <f t="shared" si="11"/>
        <v>0</v>
      </c>
    </row>
    <row r="24" spans="1:24" x14ac:dyDescent="0.25">
      <c r="A24" s="97"/>
      <c r="B24" s="93"/>
      <c r="C24" s="93"/>
      <c r="D24" s="94"/>
      <c r="E24" s="94"/>
      <c r="F24" s="88">
        <f t="shared" si="12"/>
        <v>0</v>
      </c>
      <c r="G24" s="94"/>
      <c r="H24" s="88">
        <f t="shared" si="3"/>
        <v>0</v>
      </c>
      <c r="I24" s="89">
        <f>SUM(H24/'B - Operating Budget'!$D$40)</f>
        <v>0</v>
      </c>
      <c r="J24" s="95"/>
      <c r="K24" s="96"/>
      <c r="N24" s="90">
        <f t="shared" si="4"/>
        <v>0</v>
      </c>
      <c r="O24" s="91">
        <f t="shared" si="5"/>
        <v>0</v>
      </c>
      <c r="P24" s="91">
        <f t="shared" ref="P24:Q103" si="14">IF($K24="no",SUM($E24*0.5),0)</f>
        <v>0</v>
      </c>
      <c r="Q24" s="91">
        <f t="shared" si="14"/>
        <v>0</v>
      </c>
      <c r="R24" s="91">
        <f t="shared" si="13"/>
        <v>0</v>
      </c>
      <c r="T24" s="91">
        <f t="shared" si="8"/>
        <v>0</v>
      </c>
      <c r="U24" s="91">
        <f t="shared" si="9"/>
        <v>0</v>
      </c>
      <c r="V24" s="91">
        <f t="shared" si="10"/>
        <v>0</v>
      </c>
      <c r="W24" s="91">
        <f t="shared" si="10"/>
        <v>0</v>
      </c>
      <c r="X24" s="92">
        <f t="shared" si="11"/>
        <v>0</v>
      </c>
    </row>
    <row r="25" spans="1:24" x14ac:dyDescent="0.25">
      <c r="A25" s="97"/>
      <c r="B25" s="93"/>
      <c r="C25" s="93"/>
      <c r="D25" s="94"/>
      <c r="E25" s="94"/>
      <c r="F25" s="88">
        <f t="shared" si="12"/>
        <v>0</v>
      </c>
      <c r="G25" s="94"/>
      <c r="H25" s="88">
        <f t="shared" si="3"/>
        <v>0</v>
      </c>
      <c r="I25" s="89">
        <f>SUM(H25/'B - Operating Budget'!$D$40)</f>
        <v>0</v>
      </c>
      <c r="J25" s="95"/>
      <c r="K25" s="96"/>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x14ac:dyDescent="0.25">
      <c r="A26" s="97"/>
      <c r="B26" s="93"/>
      <c r="C26" s="93"/>
      <c r="D26" s="94"/>
      <c r="E26" s="94"/>
      <c r="F26" s="88">
        <f t="shared" si="12"/>
        <v>0</v>
      </c>
      <c r="G26" s="94"/>
      <c r="H26" s="88">
        <f t="shared" si="3"/>
        <v>0</v>
      </c>
      <c r="I26" s="89">
        <f>SUM(H26/'B - Operating Budget'!$D$40)</f>
        <v>0</v>
      </c>
      <c r="J26" s="95"/>
      <c r="K26" s="96"/>
      <c r="N26" s="90">
        <f t="shared" si="4"/>
        <v>0</v>
      </c>
      <c r="O26" s="91">
        <f t="shared" si="5"/>
        <v>0</v>
      </c>
      <c r="P26" s="91">
        <f t="shared" si="14"/>
        <v>0</v>
      </c>
      <c r="Q26" s="91">
        <f t="shared" si="14"/>
        <v>0</v>
      </c>
      <c r="R26" s="91">
        <f t="shared" si="13"/>
        <v>0</v>
      </c>
      <c r="T26" s="91">
        <f t="shared" si="8"/>
        <v>0</v>
      </c>
      <c r="U26" s="91">
        <f t="shared" si="9"/>
        <v>0</v>
      </c>
      <c r="V26" s="91">
        <f t="shared" si="10"/>
        <v>0</v>
      </c>
      <c r="W26" s="91">
        <f t="shared" si="10"/>
        <v>0</v>
      </c>
      <c r="X26" s="92">
        <f t="shared" si="11"/>
        <v>0</v>
      </c>
    </row>
    <row r="27" spans="1:24" x14ac:dyDescent="0.25">
      <c r="A27" s="97"/>
      <c r="B27" s="93"/>
      <c r="C27" s="93"/>
      <c r="D27" s="94"/>
      <c r="E27" s="94"/>
      <c r="F27" s="88">
        <f t="shared" ref="F27:F28" si="15">SUM(D27:E27)</f>
        <v>0</v>
      </c>
      <c r="G27" s="94"/>
      <c r="H27" s="88">
        <f t="shared" ref="H27:H28" si="16">SUM(F27:G27)</f>
        <v>0</v>
      </c>
      <c r="I27" s="89">
        <f>SUM(H27/'B - Operating Budget'!$D$40)</f>
        <v>0</v>
      </c>
      <c r="J27" s="95"/>
      <c r="K27" s="96"/>
      <c r="N27" s="90">
        <f t="shared" si="4"/>
        <v>0</v>
      </c>
      <c r="O27" s="91">
        <f t="shared" si="5"/>
        <v>0</v>
      </c>
      <c r="P27" s="91">
        <f t="shared" si="14"/>
        <v>0</v>
      </c>
      <c r="Q27" s="91">
        <f t="shared" si="14"/>
        <v>0</v>
      </c>
      <c r="R27" s="91">
        <f t="shared" ref="R27:R57" si="17">SUM(N27:Q27)</f>
        <v>0</v>
      </c>
      <c r="T27" s="91">
        <f t="shared" si="8"/>
        <v>0</v>
      </c>
      <c r="U27" s="91">
        <f t="shared" si="9"/>
        <v>0</v>
      </c>
      <c r="V27" s="91">
        <f t="shared" si="10"/>
        <v>0</v>
      </c>
      <c r="W27" s="91">
        <f t="shared" si="10"/>
        <v>0</v>
      </c>
      <c r="X27" s="92">
        <f t="shared" ref="X27:X57" si="18">SUM(T27:W27)</f>
        <v>0</v>
      </c>
    </row>
    <row r="28" spans="1:24" x14ac:dyDescent="0.25">
      <c r="A28" s="97"/>
      <c r="B28" s="93"/>
      <c r="C28" s="93"/>
      <c r="D28" s="94"/>
      <c r="E28" s="94"/>
      <c r="F28" s="88">
        <f t="shared" si="15"/>
        <v>0</v>
      </c>
      <c r="G28" s="94"/>
      <c r="H28" s="88">
        <f t="shared" si="16"/>
        <v>0</v>
      </c>
      <c r="I28" s="89">
        <f>SUM(H28/'B - Operating Budget'!$D$40)</f>
        <v>0</v>
      </c>
      <c r="J28" s="95"/>
      <c r="K28" s="96"/>
      <c r="N28" s="90">
        <f t="shared" si="4"/>
        <v>0</v>
      </c>
      <c r="O28" s="91">
        <f t="shared" si="5"/>
        <v>0</v>
      </c>
      <c r="P28" s="91">
        <f t="shared" si="14"/>
        <v>0</v>
      </c>
      <c r="Q28" s="91">
        <f t="shared" si="14"/>
        <v>0</v>
      </c>
      <c r="R28" s="91">
        <f t="shared" si="17"/>
        <v>0</v>
      </c>
      <c r="T28" s="91">
        <f t="shared" si="8"/>
        <v>0</v>
      </c>
      <c r="U28" s="91">
        <f t="shared" si="9"/>
        <v>0</v>
      </c>
      <c r="V28" s="91">
        <f t="shared" si="10"/>
        <v>0</v>
      </c>
      <c r="W28" s="91">
        <f t="shared" si="10"/>
        <v>0</v>
      </c>
      <c r="X28" s="92">
        <f t="shared" si="18"/>
        <v>0</v>
      </c>
    </row>
    <row r="29" spans="1:24" x14ac:dyDescent="0.25">
      <c r="A29" s="97"/>
      <c r="B29" s="93"/>
      <c r="C29" s="93"/>
      <c r="D29" s="94"/>
      <c r="E29" s="94"/>
      <c r="F29" s="88">
        <f t="shared" ref="F29:F57" si="19">SUM(D29:E29)</f>
        <v>0</v>
      </c>
      <c r="G29" s="94"/>
      <c r="H29" s="88">
        <f t="shared" ref="H29:H57" si="20">SUM(F29:G29)</f>
        <v>0</v>
      </c>
      <c r="I29" s="89">
        <f>SUM(H29/'B - Operating Budget'!$D$40)</f>
        <v>0</v>
      </c>
      <c r="J29" s="95"/>
      <c r="K29" s="96"/>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x14ac:dyDescent="0.25">
      <c r="A30" s="97"/>
      <c r="B30" s="93"/>
      <c r="C30" s="93"/>
      <c r="D30" s="94"/>
      <c r="E30" s="94"/>
      <c r="F30" s="88">
        <f t="shared" si="19"/>
        <v>0</v>
      </c>
      <c r="G30" s="94"/>
      <c r="H30" s="88">
        <f t="shared" si="20"/>
        <v>0</v>
      </c>
      <c r="I30" s="89">
        <f>SUM(H30/'B - Operating Budget'!$D$40)</f>
        <v>0</v>
      </c>
      <c r="J30" s="95"/>
      <c r="K30" s="96"/>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x14ac:dyDescent="0.25">
      <c r="A31" s="97"/>
      <c r="B31" s="93"/>
      <c r="C31" s="93"/>
      <c r="D31" s="94"/>
      <c r="E31" s="94"/>
      <c r="F31" s="88">
        <f t="shared" si="19"/>
        <v>0</v>
      </c>
      <c r="G31" s="94"/>
      <c r="H31" s="88">
        <f t="shared" si="20"/>
        <v>0</v>
      </c>
      <c r="I31" s="89">
        <f>SUM(H31/'B - Operating Budget'!$D$40)</f>
        <v>0</v>
      </c>
      <c r="J31" s="95"/>
      <c r="K31" s="96"/>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x14ac:dyDescent="0.25">
      <c r="A32" s="97"/>
      <c r="B32" s="93"/>
      <c r="C32" s="93"/>
      <c r="D32" s="94"/>
      <c r="E32" s="94"/>
      <c r="F32" s="88">
        <f t="shared" si="19"/>
        <v>0</v>
      </c>
      <c r="G32" s="94"/>
      <c r="H32" s="88">
        <f t="shared" si="20"/>
        <v>0</v>
      </c>
      <c r="I32" s="89">
        <f>SUM(H32/'B - Operating Budget'!$D$40)</f>
        <v>0</v>
      </c>
      <c r="J32" s="95"/>
      <c r="K32" s="96"/>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c r="B33" s="93"/>
      <c r="C33" s="93"/>
      <c r="D33" s="94"/>
      <c r="E33" s="94"/>
      <c r="F33" s="88">
        <f t="shared" si="19"/>
        <v>0</v>
      </c>
      <c r="G33" s="94"/>
      <c r="H33" s="88">
        <f t="shared" si="20"/>
        <v>0</v>
      </c>
      <c r="I33" s="89">
        <f>SUM(H33/'B - Operating Budget'!$D$40)</f>
        <v>0</v>
      </c>
      <c r="J33" s="95"/>
      <c r="K33" s="96"/>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x14ac:dyDescent="0.25">
      <c r="A34" s="97"/>
      <c r="B34" s="93"/>
      <c r="C34" s="93"/>
      <c r="D34" s="94"/>
      <c r="E34" s="94"/>
      <c r="F34" s="88">
        <f t="shared" si="19"/>
        <v>0</v>
      </c>
      <c r="G34" s="94"/>
      <c r="H34" s="88">
        <f t="shared" si="20"/>
        <v>0</v>
      </c>
      <c r="I34" s="89">
        <f>SUM(H34/'B - Operating Budget'!$D$40)</f>
        <v>0</v>
      </c>
      <c r="J34" s="95"/>
      <c r="K34" s="96"/>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c r="B35" s="93"/>
      <c r="C35" s="93"/>
      <c r="D35" s="94"/>
      <c r="E35" s="94"/>
      <c r="F35" s="88">
        <f t="shared" si="19"/>
        <v>0</v>
      </c>
      <c r="G35" s="94"/>
      <c r="H35" s="88">
        <f t="shared" si="20"/>
        <v>0</v>
      </c>
      <c r="I35" s="89">
        <f>SUM(H35/'B - Operating Budget'!$D$40)</f>
        <v>0</v>
      </c>
      <c r="J35" s="95"/>
      <c r="K35" s="96"/>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c r="B36" s="93"/>
      <c r="C36" s="93"/>
      <c r="D36" s="94"/>
      <c r="E36" s="94"/>
      <c r="F36" s="88">
        <f t="shared" si="19"/>
        <v>0</v>
      </c>
      <c r="G36" s="94"/>
      <c r="H36" s="88">
        <f t="shared" si="20"/>
        <v>0</v>
      </c>
      <c r="I36" s="89">
        <f>SUM(H36/'B - Operating Budget'!$D$40)</f>
        <v>0</v>
      </c>
      <c r="J36" s="95"/>
      <c r="K36" s="96"/>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c r="B37" s="93"/>
      <c r="C37" s="93"/>
      <c r="D37" s="94"/>
      <c r="E37" s="94"/>
      <c r="F37" s="88">
        <f t="shared" si="19"/>
        <v>0</v>
      </c>
      <c r="G37" s="94"/>
      <c r="H37" s="88">
        <f t="shared" si="20"/>
        <v>0</v>
      </c>
      <c r="I37" s="89">
        <f>SUM(H37/'B - Operating Budget'!$D$40)</f>
        <v>0</v>
      </c>
      <c r="J37" s="95"/>
      <c r="K37" s="96"/>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c r="B38" s="93"/>
      <c r="C38" s="93"/>
      <c r="D38" s="94"/>
      <c r="E38" s="94"/>
      <c r="F38" s="88">
        <f t="shared" si="19"/>
        <v>0</v>
      </c>
      <c r="G38" s="94"/>
      <c r="H38" s="88">
        <f t="shared" si="20"/>
        <v>0</v>
      </c>
      <c r="I38" s="89">
        <f>SUM(H38/'B - Operating Budget'!$D$40)</f>
        <v>0</v>
      </c>
      <c r="J38" s="95"/>
      <c r="K38" s="96"/>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c r="B39" s="93"/>
      <c r="C39" s="93"/>
      <c r="D39" s="94"/>
      <c r="E39" s="94"/>
      <c r="F39" s="88">
        <f t="shared" si="19"/>
        <v>0</v>
      </c>
      <c r="G39" s="94"/>
      <c r="H39" s="88">
        <f t="shared" si="20"/>
        <v>0</v>
      </c>
      <c r="I39" s="89">
        <f>SUM(H39/'B - Operating Budget'!$D$40)</f>
        <v>0</v>
      </c>
      <c r="J39" s="95"/>
      <c r="K39" s="96"/>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c r="B40" s="93"/>
      <c r="C40" s="93"/>
      <c r="D40" s="94"/>
      <c r="E40" s="94"/>
      <c r="F40" s="88">
        <f t="shared" si="19"/>
        <v>0</v>
      </c>
      <c r="G40" s="94"/>
      <c r="H40" s="88">
        <f t="shared" si="20"/>
        <v>0</v>
      </c>
      <c r="I40" s="89">
        <f>SUM(H40/'B - Operating Budget'!$D$40)</f>
        <v>0</v>
      </c>
      <c r="J40" s="95"/>
      <c r="K40" s="96"/>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c r="B41" s="93"/>
      <c r="C41" s="93"/>
      <c r="D41" s="94"/>
      <c r="E41" s="94"/>
      <c r="F41" s="88">
        <f t="shared" si="19"/>
        <v>0</v>
      </c>
      <c r="G41" s="94"/>
      <c r="H41" s="88">
        <f t="shared" si="20"/>
        <v>0</v>
      </c>
      <c r="I41" s="89">
        <f>SUM(H41/'B - Operating Budget'!$D$40)</f>
        <v>0</v>
      </c>
      <c r="J41" s="95"/>
      <c r="K41" s="96"/>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c r="B42" s="93"/>
      <c r="C42" s="93"/>
      <c r="D42" s="94"/>
      <c r="E42" s="94"/>
      <c r="F42" s="88">
        <f t="shared" si="19"/>
        <v>0</v>
      </c>
      <c r="G42" s="94"/>
      <c r="H42" s="88">
        <f t="shared" si="20"/>
        <v>0</v>
      </c>
      <c r="I42" s="89">
        <f>SUM(H42/'B - Operating Budget'!$D$40)</f>
        <v>0</v>
      </c>
      <c r="J42" s="95"/>
      <c r="K42" s="96"/>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c r="B43" s="93"/>
      <c r="C43" s="93"/>
      <c r="D43" s="94"/>
      <c r="E43" s="94"/>
      <c r="F43" s="88">
        <f t="shared" si="19"/>
        <v>0</v>
      </c>
      <c r="G43" s="94"/>
      <c r="H43" s="88">
        <f t="shared" si="20"/>
        <v>0</v>
      </c>
      <c r="I43" s="89">
        <f>SUM(H43/'B - Operating Budget'!$D$40)</f>
        <v>0</v>
      </c>
      <c r="J43" s="95"/>
      <c r="K43" s="96"/>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19"/>
        <v>0</v>
      </c>
      <c r="G44" s="94"/>
      <c r="H44" s="88">
        <f t="shared" si="20"/>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19"/>
        <v>0</v>
      </c>
      <c r="G45" s="94"/>
      <c r="H45" s="88">
        <f t="shared" si="20"/>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19"/>
        <v>0</v>
      </c>
      <c r="G46" s="94"/>
      <c r="H46" s="88">
        <f t="shared" si="20"/>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19"/>
        <v>0</v>
      </c>
      <c r="G47" s="94"/>
      <c r="H47" s="88">
        <f t="shared" si="20"/>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19"/>
        <v>0</v>
      </c>
      <c r="G48" s="94"/>
      <c r="H48" s="88">
        <f t="shared" si="20"/>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19"/>
        <v>0</v>
      </c>
      <c r="G49" s="94"/>
      <c r="H49" s="88">
        <f t="shared" si="20"/>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19"/>
        <v>0</v>
      </c>
      <c r="G50" s="94"/>
      <c r="H50" s="88">
        <f t="shared" si="20"/>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19"/>
        <v>0</v>
      </c>
      <c r="G51" s="94"/>
      <c r="H51" s="88">
        <f t="shared" si="20"/>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19"/>
        <v>0</v>
      </c>
      <c r="G52" s="94"/>
      <c r="H52" s="88">
        <f t="shared" si="20"/>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19"/>
        <v>0</v>
      </c>
      <c r="G53" s="94"/>
      <c r="H53" s="88">
        <f t="shared" si="20"/>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19"/>
        <v>0</v>
      </c>
      <c r="G54" s="94"/>
      <c r="H54" s="88">
        <f t="shared" si="20"/>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19"/>
        <v>0</v>
      </c>
      <c r="G55" s="94"/>
      <c r="H55" s="88">
        <f t="shared" si="20"/>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19"/>
        <v>0</v>
      </c>
      <c r="G56" s="94"/>
      <c r="H56" s="88">
        <f t="shared" si="20"/>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19"/>
        <v>0</v>
      </c>
      <c r="G57" s="94"/>
      <c r="H57" s="88">
        <f t="shared" si="20"/>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91719.08</v>
      </c>
      <c r="E109" s="127">
        <f>SUM(E7:E103)</f>
        <v>400000</v>
      </c>
      <c r="F109" s="127">
        <f>SUM(F7:F103)</f>
        <v>491719.08</v>
      </c>
      <c r="G109" s="127">
        <f>SUM(G7:G103)</f>
        <v>180000</v>
      </c>
      <c r="H109" s="127">
        <f>SUM(H7:H103)</f>
        <v>671719.08000000007</v>
      </c>
      <c r="I109" s="126"/>
      <c r="J109" s="126">
        <f>SUM(J7:J103)</f>
        <v>1360</v>
      </c>
      <c r="K109" s="102"/>
      <c r="N109" s="103">
        <f>SUM(N7:N103)</f>
        <v>0</v>
      </c>
      <c r="O109" s="104">
        <f t="shared" ref="O109:R109" si="29">SUM(O7:O103)</f>
        <v>0</v>
      </c>
      <c r="P109" s="104">
        <f t="shared" si="29"/>
        <v>200000</v>
      </c>
      <c r="Q109" s="104">
        <f t="shared" si="29"/>
        <v>200000</v>
      </c>
      <c r="R109" s="104">
        <f t="shared" si="29"/>
        <v>400000</v>
      </c>
      <c r="S109" s="105"/>
      <c r="T109" s="104">
        <f>SUM(T7:T103)</f>
        <v>0</v>
      </c>
      <c r="U109" s="104">
        <f t="shared" ref="U109:X109" si="30">SUM(U7:U103)</f>
        <v>0</v>
      </c>
      <c r="V109" s="104">
        <f t="shared" si="30"/>
        <v>90000</v>
      </c>
      <c r="W109" s="104">
        <f t="shared" si="30"/>
        <v>90000</v>
      </c>
      <c r="X109" s="106">
        <f t="shared" si="30"/>
        <v>180000</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C8" sqref="C8"/>
    </sheetView>
  </sheetViews>
  <sheetFormatPr defaultColWidth="8.7109375" defaultRowHeight="15" x14ac:dyDescent="0.25"/>
  <cols>
    <col min="1" max="2" width="30.7109375" style="24" customWidth="1"/>
    <col min="3" max="3" width="25.7109375" style="24" customWidth="1"/>
    <col min="4" max="5" width="14.5703125" style="24" customWidth="1"/>
    <col min="6" max="7" width="30.7109375" style="24" customWidth="1"/>
    <col min="8" max="8" width="18.28515625" style="24" customWidth="1"/>
    <col min="9" max="9" width="15.85546875" style="24" customWidth="1"/>
    <col min="10" max="16384" width="8.7109375" style="24"/>
  </cols>
  <sheetData>
    <row r="1" spans="1:9" ht="34.5" customHeight="1" x14ac:dyDescent="0.25">
      <c r="A1" s="44" t="s">
        <v>0</v>
      </c>
      <c r="B1" s="39" t="str">
        <f>'A-Contracts-Partnerships Matrix'!B1</f>
        <v>MONTANA</v>
      </c>
      <c r="C1" s="39"/>
      <c r="D1" s="39"/>
      <c r="E1" s="39"/>
      <c r="F1" s="39"/>
      <c r="G1" s="39"/>
      <c r="H1" s="40" t="s">
        <v>2</v>
      </c>
      <c r="I1" s="56" t="str">
        <f>'A-Contracts-Partnerships Matrix'!J1</f>
        <v>FY2025</v>
      </c>
    </row>
    <row r="2" spans="1:9" ht="15.75" x14ac:dyDescent="0.25">
      <c r="A2" s="328" t="s">
        <v>33</v>
      </c>
      <c r="B2" s="329"/>
      <c r="C2" s="329"/>
      <c r="D2" s="329"/>
      <c r="E2" s="329"/>
      <c r="F2" s="329"/>
      <c r="G2" s="329"/>
      <c r="H2" s="329"/>
      <c r="I2" s="330"/>
    </row>
    <row r="3" spans="1:9" ht="84" customHeight="1" x14ac:dyDescent="0.25">
      <c r="A3" s="331" t="s">
        <v>34</v>
      </c>
      <c r="B3" s="332"/>
      <c r="C3" s="332"/>
      <c r="D3" s="332"/>
      <c r="E3" s="332"/>
      <c r="F3" s="332"/>
      <c r="G3" s="332"/>
      <c r="H3" s="332"/>
      <c r="I3" s="333"/>
    </row>
    <row r="4" spans="1:9" ht="18" customHeight="1" x14ac:dyDescent="0.25">
      <c r="A4" s="306"/>
      <c r="B4" s="307"/>
      <c r="C4" s="307"/>
      <c r="D4" s="307"/>
      <c r="E4" s="307"/>
      <c r="F4" s="307"/>
      <c r="G4" s="307"/>
      <c r="H4" s="307"/>
      <c r="I4" s="308"/>
    </row>
    <row r="5" spans="1:9" ht="18" customHeight="1" x14ac:dyDescent="0.25">
      <c r="A5" s="193" t="s">
        <v>35</v>
      </c>
      <c r="B5" s="191"/>
      <c r="C5" s="191"/>
      <c r="D5" s="191"/>
      <c r="E5" s="191"/>
      <c r="F5" s="191"/>
      <c r="G5" s="191"/>
      <c r="H5" s="191"/>
      <c r="I5" s="192">
        <f>SUM(I8:I108)</f>
        <v>1360</v>
      </c>
    </row>
    <row r="6" spans="1:9" ht="18" customHeight="1" x14ac:dyDescent="0.25">
      <c r="A6" s="306"/>
      <c r="B6" s="307"/>
      <c r="C6" s="307"/>
      <c r="D6" s="307"/>
      <c r="E6" s="307"/>
      <c r="F6" s="307"/>
      <c r="G6" s="307"/>
      <c r="H6" s="307"/>
      <c r="I6" s="308"/>
    </row>
    <row r="7" spans="1:9" s="73" customFormat="1" ht="57.75" x14ac:dyDescent="0.25">
      <c r="A7" s="117" t="s">
        <v>36</v>
      </c>
      <c r="B7" s="118" t="s">
        <v>37</v>
      </c>
      <c r="C7" s="118" t="s">
        <v>38</v>
      </c>
      <c r="D7" s="118" t="s">
        <v>39</v>
      </c>
      <c r="E7" s="118" t="s">
        <v>40</v>
      </c>
      <c r="F7" s="118" t="s">
        <v>41</v>
      </c>
      <c r="G7" s="118" t="s">
        <v>42</v>
      </c>
      <c r="H7" s="118" t="s">
        <v>43</v>
      </c>
      <c r="I7" s="119" t="s">
        <v>44</v>
      </c>
    </row>
    <row r="8" spans="1:9" ht="75" x14ac:dyDescent="0.25">
      <c r="A8" s="108" t="s">
        <v>29</v>
      </c>
      <c r="B8" s="109"/>
      <c r="C8" s="109" t="s">
        <v>45</v>
      </c>
      <c r="D8" s="110">
        <v>2024</v>
      </c>
      <c r="E8" s="110">
        <v>2025</v>
      </c>
      <c r="F8" s="109" t="s">
        <v>46</v>
      </c>
      <c r="G8" s="109" t="s">
        <v>30</v>
      </c>
      <c r="H8" s="110" t="s">
        <v>30</v>
      </c>
      <c r="I8" s="111">
        <v>960</v>
      </c>
    </row>
    <row r="9" spans="1:9" ht="30" x14ac:dyDescent="0.25">
      <c r="A9" s="108" t="s">
        <v>29</v>
      </c>
      <c r="B9" s="109" t="s">
        <v>47</v>
      </c>
      <c r="C9" s="109" t="s">
        <v>48</v>
      </c>
      <c r="D9" s="110">
        <v>2024</v>
      </c>
      <c r="E9" s="110">
        <v>2025</v>
      </c>
      <c r="F9" s="109" t="s">
        <v>46</v>
      </c>
      <c r="G9" s="109" t="s">
        <v>30</v>
      </c>
      <c r="H9" s="110" t="s">
        <v>30</v>
      </c>
      <c r="I9" s="111">
        <v>100</v>
      </c>
    </row>
    <row r="10" spans="1:9" ht="12.95" customHeight="1" x14ac:dyDescent="0.25">
      <c r="A10" s="108" t="s">
        <v>29</v>
      </c>
      <c r="B10" s="109" t="s">
        <v>49</v>
      </c>
      <c r="C10" s="109" t="s">
        <v>50</v>
      </c>
      <c r="D10" s="110">
        <v>2024</v>
      </c>
      <c r="E10" s="110">
        <v>2025</v>
      </c>
      <c r="F10" s="109" t="s">
        <v>46</v>
      </c>
      <c r="G10" s="109" t="s">
        <v>30</v>
      </c>
      <c r="H10" s="110" t="s">
        <v>30</v>
      </c>
      <c r="I10" s="79">
        <v>300</v>
      </c>
    </row>
    <row r="11" spans="1:9" x14ac:dyDescent="0.25">
      <c r="A11" s="108"/>
      <c r="B11" s="109"/>
      <c r="C11" s="109"/>
      <c r="D11" s="110"/>
      <c r="E11" s="110"/>
      <c r="F11" s="109"/>
      <c r="G11" s="109"/>
      <c r="H11" s="110"/>
      <c r="I11" s="111"/>
    </row>
    <row r="12" spans="1:9" x14ac:dyDescent="0.25">
      <c r="A12" s="108"/>
      <c r="B12" s="109"/>
      <c r="C12" s="109"/>
      <c r="D12" s="110"/>
      <c r="E12" s="110"/>
      <c r="F12" s="109"/>
      <c r="G12" s="109"/>
      <c r="H12" s="110"/>
      <c r="I12" s="111"/>
    </row>
    <row r="13" spans="1:9" x14ac:dyDescent="0.25">
      <c r="A13" s="108"/>
      <c r="B13" s="109"/>
      <c r="C13" s="109"/>
      <c r="D13" s="110"/>
      <c r="E13" s="110"/>
      <c r="F13" s="109"/>
      <c r="G13" s="109"/>
      <c r="H13" s="110"/>
      <c r="I13" s="111"/>
    </row>
    <row r="14" spans="1:9" x14ac:dyDescent="0.25">
      <c r="A14" s="108"/>
      <c r="B14" s="109"/>
      <c r="C14" s="109"/>
      <c r="D14" s="110"/>
      <c r="E14" s="110"/>
      <c r="F14" s="109"/>
      <c r="G14" s="109"/>
      <c r="H14" s="110"/>
      <c r="I14" s="111"/>
    </row>
    <row r="15" spans="1:9" x14ac:dyDescent="0.25">
      <c r="A15" s="108"/>
      <c r="B15" s="109"/>
      <c r="C15" s="109"/>
      <c r="D15" s="110"/>
      <c r="E15" s="110"/>
      <c r="F15" s="109"/>
      <c r="G15" s="109"/>
      <c r="H15" s="110"/>
      <c r="I15" s="111"/>
    </row>
    <row r="16" spans="1:9" x14ac:dyDescent="0.25">
      <c r="A16" s="108"/>
      <c r="B16" s="109"/>
      <c r="C16" s="109"/>
      <c r="D16" s="110"/>
      <c r="E16" s="110"/>
      <c r="F16" s="109"/>
      <c r="G16" s="109"/>
      <c r="H16" s="110"/>
      <c r="I16" s="111"/>
    </row>
    <row r="17" spans="1:9" x14ac:dyDescent="0.25">
      <c r="A17" s="108"/>
      <c r="B17" s="109"/>
      <c r="C17" s="109"/>
      <c r="D17" s="110"/>
      <c r="E17" s="110"/>
      <c r="F17" s="109"/>
      <c r="G17" s="109"/>
      <c r="H17" s="110"/>
      <c r="I17" s="111"/>
    </row>
    <row r="18" spans="1:9" x14ac:dyDescent="0.25">
      <c r="A18" s="108"/>
      <c r="B18" s="109"/>
      <c r="C18" s="109"/>
      <c r="D18" s="110"/>
      <c r="E18" s="110"/>
      <c r="F18" s="10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5.75" thickBot="1" x14ac:dyDescent="0.3">
      <c r="A108" s="112"/>
      <c r="B108" s="113"/>
      <c r="C108" s="113"/>
      <c r="D108" s="114"/>
      <c r="E108" s="114"/>
      <c r="F108" s="113"/>
      <c r="G108" s="113"/>
      <c r="H108" s="114"/>
      <c r="I108" s="115"/>
    </row>
    <row r="113" spans="1:9" x14ac:dyDescent="0.25">
      <c r="A113" s="116" t="s">
        <v>51</v>
      </c>
      <c r="B113" s="116"/>
      <c r="C113" s="116"/>
      <c r="D113" s="116"/>
      <c r="E113" s="116"/>
      <c r="F113" s="116"/>
      <c r="G113" s="116"/>
      <c r="H113" s="116"/>
      <c r="I113" s="116">
        <f>SUM(I8:I108)</f>
        <v>1360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tabSelected="1" zoomScale="130" zoomScaleNormal="130" workbookViewId="0">
      <selection activeCell="F4" sqref="F4"/>
    </sheetView>
  </sheetViews>
  <sheetFormatPr defaultColWidth="8.7109375" defaultRowHeight="15" x14ac:dyDescent="0.25"/>
  <cols>
    <col min="1" max="1" width="40.7109375" style="73" customWidth="1"/>
    <col min="2" max="4" width="20.7109375" style="24" customWidth="1"/>
    <col min="5" max="16384" width="8.7109375" style="24"/>
  </cols>
  <sheetData>
    <row r="1" spans="1:4" x14ac:dyDescent="0.25">
      <c r="A1" s="44" t="s">
        <v>0</v>
      </c>
      <c r="B1" s="39" t="str">
        <f>'A-Contracts-Partnerships Matrix'!B1</f>
        <v>MONTANA</v>
      </c>
      <c r="C1" s="40" t="s">
        <v>2</v>
      </c>
      <c r="D1" s="56" t="str">
        <f>'A-Contracts-Partnerships Matrix'!J1</f>
        <v>FY2025</v>
      </c>
    </row>
    <row r="2" spans="1:4" ht="16.5" thickBot="1" x14ac:dyDescent="0.3">
      <c r="A2" s="334" t="s">
        <v>52</v>
      </c>
      <c r="B2" s="335"/>
      <c r="C2" s="335"/>
      <c r="D2" s="336"/>
    </row>
    <row r="3" spans="1:4" ht="84" customHeight="1" thickBot="1" x14ac:dyDescent="0.3">
      <c r="A3" s="337" t="s">
        <v>53</v>
      </c>
      <c r="B3" s="338"/>
      <c r="C3" s="338"/>
      <c r="D3" s="339"/>
    </row>
    <row r="4" spans="1:4" x14ac:dyDescent="0.25">
      <c r="A4" s="128" t="s">
        <v>54</v>
      </c>
      <c r="B4" s="129" t="s">
        <v>55</v>
      </c>
      <c r="C4" s="129" t="s">
        <v>56</v>
      </c>
      <c r="D4" s="130" t="s">
        <v>51</v>
      </c>
    </row>
    <row r="5" spans="1:4" x14ac:dyDescent="0.25">
      <c r="A5" s="131" t="s">
        <v>57</v>
      </c>
      <c r="B5" s="132"/>
      <c r="C5" s="132"/>
      <c r="D5" s="133"/>
    </row>
    <row r="6" spans="1:4" x14ac:dyDescent="0.25">
      <c r="A6" s="134" t="s">
        <v>58</v>
      </c>
      <c r="B6" s="135">
        <v>0</v>
      </c>
      <c r="C6" s="135">
        <v>63398.400000000001</v>
      </c>
      <c r="D6" s="136">
        <f>SUM(B6:C6)</f>
        <v>63398.400000000001</v>
      </c>
    </row>
    <row r="7" spans="1:4" ht="60" x14ac:dyDescent="0.25">
      <c r="A7" s="134" t="s">
        <v>59</v>
      </c>
      <c r="B7" s="137"/>
      <c r="C7" s="137"/>
      <c r="D7" s="138"/>
    </row>
    <row r="8" spans="1:4" x14ac:dyDescent="0.25">
      <c r="A8" s="139"/>
      <c r="B8" s="140">
        <f>ROUND(SUM(B6*$A$8),0)</f>
        <v>0</v>
      </c>
      <c r="C8" s="140">
        <f>ROUND(SUM(C6*$A$8),0)</f>
        <v>0</v>
      </c>
      <c r="D8" s="136">
        <f>ROUND(SUM(B8:C8),0)</f>
        <v>0</v>
      </c>
    </row>
    <row r="9" spans="1:4" x14ac:dyDescent="0.25">
      <c r="A9" s="141" t="s">
        <v>60</v>
      </c>
      <c r="B9" s="135"/>
      <c r="C9" s="135">
        <v>19019.52</v>
      </c>
      <c r="D9" s="136">
        <f>ROUND(SUM(B9:C9),0)</f>
        <v>19020</v>
      </c>
    </row>
    <row r="10" spans="1:4" x14ac:dyDescent="0.25">
      <c r="A10" s="142" t="s">
        <v>61</v>
      </c>
      <c r="B10" s="135"/>
      <c r="C10" s="135"/>
      <c r="D10" s="136">
        <f t="shared" ref="D10:D15" si="0">SUM(B10:C10)</f>
        <v>0</v>
      </c>
    </row>
    <row r="11" spans="1:4" x14ac:dyDescent="0.25">
      <c r="A11" s="142" t="s">
        <v>62</v>
      </c>
      <c r="B11" s="135"/>
      <c r="C11" s="135">
        <v>1000</v>
      </c>
      <c r="D11" s="136">
        <f t="shared" si="0"/>
        <v>1000</v>
      </c>
    </row>
    <row r="12" spans="1:4" x14ac:dyDescent="0.25">
      <c r="A12" s="142" t="s">
        <v>63</v>
      </c>
      <c r="B12" s="135">
        <v>0</v>
      </c>
      <c r="C12" s="135">
        <v>11681</v>
      </c>
      <c r="D12" s="136">
        <f t="shared" si="0"/>
        <v>11681</v>
      </c>
    </row>
    <row r="13" spans="1:4" x14ac:dyDescent="0.25">
      <c r="A13" s="142" t="s">
        <v>64</v>
      </c>
      <c r="B13" s="135">
        <v>0</v>
      </c>
      <c r="C13" s="135">
        <v>0</v>
      </c>
      <c r="D13" s="136">
        <f t="shared" si="0"/>
        <v>0</v>
      </c>
    </row>
    <row r="14" spans="1:4" x14ac:dyDescent="0.25">
      <c r="A14" s="142" t="s">
        <v>65</v>
      </c>
      <c r="B14" s="135"/>
      <c r="C14" s="135"/>
      <c r="D14" s="136">
        <f t="shared" si="0"/>
        <v>0</v>
      </c>
    </row>
    <row r="15" spans="1:4" x14ac:dyDescent="0.25">
      <c r="A15" s="143" t="s">
        <v>66</v>
      </c>
      <c r="B15" s="140">
        <f>SUM(B6:B14)</f>
        <v>0</v>
      </c>
      <c r="C15" s="140">
        <f>SUM(C6:C14)</f>
        <v>95098.92</v>
      </c>
      <c r="D15" s="136">
        <f t="shared" si="0"/>
        <v>95098.92</v>
      </c>
    </row>
    <row r="16" spans="1:4" ht="45" x14ac:dyDescent="0.25">
      <c r="A16" s="144" t="s">
        <v>67</v>
      </c>
      <c r="B16" s="140">
        <f>SUM('A-Contracts-Partnerships Matrix'!O109+'A-Contracts-Partnerships Matrix'!Q109)</f>
        <v>200000</v>
      </c>
      <c r="C16" s="140">
        <f>SUM('A-Contracts-Partnerships Matrix'!N109+'A-Contracts-Partnerships Matrix'!P109)+'A-Contracts-Partnerships Matrix'!D109</f>
        <v>291719.08</v>
      </c>
      <c r="D16" s="136">
        <f>SUM(B16:C16)</f>
        <v>491719.08</v>
      </c>
    </row>
    <row r="17" spans="1:4" ht="45" x14ac:dyDescent="0.25">
      <c r="A17" s="144" t="s">
        <v>68</v>
      </c>
      <c r="B17" s="140">
        <f>SUM('D- Optional-County Adm Budget'!E117)/2</f>
        <v>0</v>
      </c>
      <c r="C17" s="140">
        <f>SUM('D- Optional-County Adm Budget'!E117)/2+'D- Optional-County Adm Budget'!D117</f>
        <v>0</v>
      </c>
      <c r="D17" s="136">
        <f>SUM(B17:C17)</f>
        <v>0</v>
      </c>
    </row>
    <row r="18" spans="1:4" ht="63.75" customHeight="1" x14ac:dyDescent="0.25">
      <c r="A18" s="134" t="s">
        <v>69</v>
      </c>
      <c r="B18" s="135"/>
      <c r="C18" s="135"/>
      <c r="D18" s="136">
        <f>SUM(B18:C18)</f>
        <v>0</v>
      </c>
    </row>
    <row r="19" spans="1:4" x14ac:dyDescent="0.25">
      <c r="A19" s="144" t="s">
        <v>70</v>
      </c>
      <c r="B19" s="140">
        <f>SUM(B15:B18)</f>
        <v>200000</v>
      </c>
      <c r="C19" s="140">
        <f>SUM(C15:C18)</f>
        <v>386818</v>
      </c>
      <c r="D19" s="136">
        <f>SUM(B19:C19)</f>
        <v>586818</v>
      </c>
    </row>
    <row r="20" spans="1:4" x14ac:dyDescent="0.25">
      <c r="A20" s="145"/>
      <c r="B20" s="132"/>
      <c r="C20" s="132"/>
      <c r="D20" s="133"/>
    </row>
    <row r="21" spans="1:4" ht="59.25" x14ac:dyDescent="0.25">
      <c r="A21" s="131" t="s">
        <v>71</v>
      </c>
      <c r="B21" s="132"/>
      <c r="C21" s="132"/>
      <c r="D21" s="133"/>
    </row>
    <row r="22" spans="1:4" ht="30" x14ac:dyDescent="0.25">
      <c r="A22" s="145" t="s">
        <v>72</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9.25" x14ac:dyDescent="0.25">
      <c r="A25" s="139" t="s">
        <v>73</v>
      </c>
      <c r="B25" s="135"/>
      <c r="C25" s="135">
        <v>20290</v>
      </c>
      <c r="D25" s="136">
        <f t="shared" ref="D25:D26" si="1">SUM(B25:C25)</f>
        <v>20290</v>
      </c>
    </row>
    <row r="26" spans="1:4" ht="43.5" x14ac:dyDescent="0.25">
      <c r="A26" s="139" t="s">
        <v>74</v>
      </c>
      <c r="B26" s="135"/>
      <c r="C26" s="135"/>
      <c r="D26" s="136">
        <f t="shared" si="1"/>
        <v>0</v>
      </c>
    </row>
    <row r="27" spans="1:4" ht="29.25" x14ac:dyDescent="0.25">
      <c r="A27" s="139" t="s">
        <v>75</v>
      </c>
      <c r="B27" s="147">
        <f>SUM(B25:B26)</f>
        <v>0</v>
      </c>
      <c r="C27" s="147">
        <f>SUM(C25:C26)</f>
        <v>20290</v>
      </c>
      <c r="D27" s="136">
        <f>SUM(B27:C27)</f>
        <v>20290</v>
      </c>
    </row>
    <row r="28" spans="1:4" x14ac:dyDescent="0.25">
      <c r="A28" s="145"/>
      <c r="B28" s="132"/>
      <c r="C28" s="132"/>
      <c r="D28" s="133"/>
    </row>
    <row r="29" spans="1:4" x14ac:dyDescent="0.25">
      <c r="A29" s="131" t="s">
        <v>76</v>
      </c>
      <c r="B29" s="132"/>
      <c r="C29" s="132"/>
      <c r="D29" s="133"/>
    </row>
    <row r="30" spans="1:4" x14ac:dyDescent="0.25">
      <c r="A30" s="134" t="s">
        <v>77</v>
      </c>
      <c r="B30" s="135">
        <v>0</v>
      </c>
      <c r="C30" s="135">
        <v>0</v>
      </c>
      <c r="D30" s="136">
        <f>SUM(B30:C30)</f>
        <v>0</v>
      </c>
    </row>
    <row r="31" spans="1:4" x14ac:dyDescent="0.25">
      <c r="A31" s="145"/>
      <c r="B31" s="132"/>
      <c r="C31" s="132"/>
      <c r="D31" s="133"/>
    </row>
    <row r="32" spans="1:4" x14ac:dyDescent="0.25">
      <c r="A32" s="148" t="s">
        <v>78</v>
      </c>
      <c r="B32" s="140">
        <f>SUM(B19+B23+B27+B30)</f>
        <v>200000</v>
      </c>
      <c r="C32" s="140">
        <f t="shared" ref="C32:D32" si="2">SUM(C19+C23+C27+C30)</f>
        <v>407108</v>
      </c>
      <c r="D32" s="140">
        <f t="shared" si="2"/>
        <v>607108</v>
      </c>
    </row>
    <row r="33" spans="1:13" x14ac:dyDescent="0.25">
      <c r="A33" s="145"/>
      <c r="B33" s="132"/>
      <c r="C33" s="132"/>
      <c r="D33" s="133"/>
    </row>
    <row r="34" spans="1:13" x14ac:dyDescent="0.25">
      <c r="A34" s="131" t="s">
        <v>79</v>
      </c>
      <c r="B34" s="132"/>
      <c r="C34" s="132"/>
      <c r="D34" s="133"/>
    </row>
    <row r="35" spans="1:13" ht="45" x14ac:dyDescent="0.25">
      <c r="A35" s="134" t="s">
        <v>80</v>
      </c>
      <c r="B35" s="135"/>
      <c r="C35" s="135"/>
      <c r="D35" s="136">
        <f>SUM(B35:C35)</f>
        <v>0</v>
      </c>
      <c r="E35" s="73"/>
      <c r="F35" s="73"/>
      <c r="G35" s="73"/>
      <c r="H35" s="73"/>
      <c r="I35" s="73"/>
      <c r="J35" s="73"/>
      <c r="K35" s="73"/>
      <c r="L35" s="73"/>
      <c r="M35" s="73"/>
    </row>
    <row r="36" spans="1:13" ht="45" x14ac:dyDescent="0.25">
      <c r="A36" s="134" t="s">
        <v>81</v>
      </c>
      <c r="B36" s="135">
        <v>90000</v>
      </c>
      <c r="C36" s="135">
        <v>90000</v>
      </c>
      <c r="D36" s="136">
        <f>SUM(B36:C36)</f>
        <v>180000</v>
      </c>
      <c r="E36" s="73"/>
      <c r="F36" s="73"/>
      <c r="G36" s="73"/>
      <c r="H36" s="73"/>
      <c r="I36" s="73"/>
      <c r="J36" s="73"/>
      <c r="K36" s="73"/>
      <c r="L36" s="73"/>
      <c r="M36" s="73"/>
    </row>
    <row r="37" spans="1:13" x14ac:dyDescent="0.25">
      <c r="A37" s="134" t="s">
        <v>82</v>
      </c>
      <c r="B37" s="135">
        <v>0</v>
      </c>
      <c r="C37" s="149"/>
      <c r="D37" s="136">
        <f>SUM(B37:C37)</f>
        <v>0</v>
      </c>
    </row>
    <row r="38" spans="1:13" x14ac:dyDescent="0.25">
      <c r="A38" s="144" t="s">
        <v>83</v>
      </c>
      <c r="B38" s="140">
        <f>SUM(B35:B37)</f>
        <v>90000</v>
      </c>
      <c r="C38" s="140">
        <f>SUM(C35:C36)</f>
        <v>90000</v>
      </c>
      <c r="D38" s="136">
        <f>SUM(B38:C38)</f>
        <v>180000</v>
      </c>
    </row>
    <row r="39" spans="1:13" x14ac:dyDescent="0.25">
      <c r="A39" s="145"/>
      <c r="B39" s="132"/>
      <c r="C39" s="132"/>
      <c r="D39" s="133"/>
    </row>
    <row r="40" spans="1:13" ht="15.75" thickBot="1" x14ac:dyDescent="0.3">
      <c r="A40" s="150" t="s">
        <v>84</v>
      </c>
      <c r="B40" s="151">
        <f>SUM(B32+B38)</f>
        <v>290000</v>
      </c>
      <c r="C40" s="151">
        <f>SUM(C32+C38)</f>
        <v>497108</v>
      </c>
      <c r="D40" s="152">
        <f>SUM(B40:C40)</f>
        <v>787108</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zoomScale="120" zoomScaleNormal="120" workbookViewId="0">
      <selection activeCell="D10" sqref="D10"/>
    </sheetView>
  </sheetViews>
  <sheetFormatPr defaultRowHeight="15" x14ac:dyDescent="0.25"/>
  <cols>
    <col min="1" max="1" width="12.7109375" customWidth="1"/>
    <col min="2" max="2" width="42.28515625" customWidth="1"/>
    <col min="3" max="6" width="20.7109375" customWidth="1"/>
    <col min="9" max="9" width="14.28515625" bestFit="1" customWidth="1"/>
    <col min="14" max="14" width="98.28515625" customWidth="1"/>
    <col min="15" max="15" width="19.140625" customWidth="1"/>
    <col min="16" max="16" width="4.7109375" customWidth="1"/>
    <col min="17" max="17" width="14.7109375" customWidth="1"/>
  </cols>
  <sheetData>
    <row r="1" spans="1:17" ht="57.75" x14ac:dyDescent="0.25">
      <c r="A1" s="38" t="s">
        <v>0</v>
      </c>
      <c r="B1" s="39" t="str">
        <f>'A-Contracts-Partnerships Matrix'!B1</f>
        <v>MONTANA</v>
      </c>
      <c r="D1" s="39"/>
      <c r="E1" s="40" t="s">
        <v>2</v>
      </c>
      <c r="F1" s="56" t="str">
        <f>'A-Contracts-Partnerships Matrix'!J1</f>
        <v>FY2025</v>
      </c>
      <c r="N1" s="349"/>
      <c r="O1" s="349"/>
    </row>
    <row r="2" spans="1:17" ht="15.75" x14ac:dyDescent="0.25">
      <c r="A2" s="323" t="s">
        <v>85</v>
      </c>
      <c r="B2" s="324"/>
      <c r="C2" s="324"/>
      <c r="D2" s="324"/>
      <c r="E2" s="324"/>
      <c r="F2" s="347"/>
      <c r="N2" s="349"/>
      <c r="O2" s="349"/>
    </row>
    <row r="3" spans="1:17" ht="66" customHeight="1" thickBot="1" x14ac:dyDescent="0.3">
      <c r="A3" s="344" t="s">
        <v>86</v>
      </c>
      <c r="B3" s="345"/>
      <c r="C3" s="345"/>
      <c r="D3" s="345"/>
      <c r="E3" s="345"/>
      <c r="F3" s="346"/>
      <c r="N3" s="348"/>
      <c r="O3" s="348"/>
    </row>
    <row r="4" spans="1:17" ht="63" x14ac:dyDescent="0.25">
      <c r="A4" s="27" t="s">
        <v>87</v>
      </c>
      <c r="B4" s="28" t="s">
        <v>88</v>
      </c>
      <c r="C4" s="26" t="s">
        <v>89</v>
      </c>
      <c r="D4" s="29" t="s">
        <v>90</v>
      </c>
      <c r="E4" s="29" t="s">
        <v>91</v>
      </c>
      <c r="F4" s="30" t="s">
        <v>92</v>
      </c>
      <c r="N4" s="265"/>
      <c r="O4" s="287"/>
    </row>
    <row r="5" spans="1:17" ht="15.75" x14ac:dyDescent="0.25">
      <c r="A5" s="22" t="s">
        <v>93</v>
      </c>
      <c r="B5" s="12" t="s">
        <v>94</v>
      </c>
      <c r="C5" s="17">
        <f>VLOOKUP(B1,'FY25 Final Allocations 5-10-24'!1:1048576,2,FALSE)</f>
        <v>207108</v>
      </c>
      <c r="D5" s="17">
        <f>IF(lookups!O5&gt;C5,C5,lookups!O5)</f>
        <v>207108</v>
      </c>
      <c r="E5" s="17">
        <f>SUM(D5-C5)</f>
        <v>0</v>
      </c>
      <c r="F5" s="20">
        <f>SUM(D5/C5)</f>
        <v>1</v>
      </c>
      <c r="I5" s="25"/>
      <c r="O5" s="288"/>
    </row>
    <row r="6" spans="1:17" ht="15.75" x14ac:dyDescent="0.25">
      <c r="A6" s="22" t="s">
        <v>93</v>
      </c>
      <c r="B6" s="23" t="s">
        <v>95</v>
      </c>
      <c r="C6" s="31"/>
      <c r="D6" s="53">
        <f>IF(lookups!O5-D5&gt;C6,C6,lookups!O5-D5)</f>
        <v>0</v>
      </c>
      <c r="E6" s="17">
        <f t="shared" ref="E6:E7" si="0">SUM(D6-C6)</f>
        <v>0</v>
      </c>
      <c r="F6" s="11"/>
      <c r="O6" s="289"/>
    </row>
    <row r="7" spans="1:17" ht="15.75" x14ac:dyDescent="0.25">
      <c r="A7" s="22" t="s">
        <v>93</v>
      </c>
      <c r="B7" s="12" t="s">
        <v>96</v>
      </c>
      <c r="C7" s="17">
        <f>VLOOKUP(B1,'FY25 Final Allocations 5-10-24'!1:1048576,4,FALSE)</f>
        <v>0</v>
      </c>
      <c r="D7" s="53">
        <f>IF(lookups!O5-D6-D5&gt;C7,C7,lookups!O5-D5-D6)</f>
        <v>0</v>
      </c>
      <c r="E7" s="17">
        <f t="shared" si="0"/>
        <v>0</v>
      </c>
      <c r="F7" s="11"/>
      <c r="O7" s="288"/>
    </row>
    <row r="8" spans="1:17" ht="15.75" x14ac:dyDescent="0.25">
      <c r="A8" s="5"/>
      <c r="B8" s="12"/>
      <c r="C8" s="280"/>
      <c r="D8" s="280"/>
      <c r="E8" s="280"/>
      <c r="F8" s="11"/>
      <c r="O8" s="289"/>
    </row>
    <row r="9" spans="1:17" ht="15.75" x14ac:dyDescent="0.25">
      <c r="A9" s="22" t="s">
        <v>93</v>
      </c>
      <c r="B9" s="12" t="s">
        <v>97</v>
      </c>
      <c r="C9" s="17">
        <f>SUM(C5:C7)</f>
        <v>207108</v>
      </c>
      <c r="D9" s="17">
        <f>SUM(D5:D7)</f>
        <v>207108</v>
      </c>
      <c r="E9" s="17">
        <f>SUM(lookups!O5-C9)</f>
        <v>0</v>
      </c>
      <c r="F9" s="20"/>
      <c r="I9" s="25"/>
      <c r="N9" s="250"/>
    </row>
    <row r="10" spans="1:17" ht="15.75" x14ac:dyDescent="0.25">
      <c r="A10" s="22" t="s">
        <v>93</v>
      </c>
      <c r="B10" s="12" t="s">
        <v>98</v>
      </c>
      <c r="C10" s="2"/>
      <c r="D10" s="32">
        <f>SUM(lookups!O11)</f>
        <v>200000</v>
      </c>
      <c r="E10" s="4"/>
      <c r="F10" s="7"/>
      <c r="I10" s="25"/>
      <c r="O10" s="288"/>
    </row>
    <row r="11" spans="1:17" ht="15.75" x14ac:dyDescent="0.25">
      <c r="A11" s="22" t="s">
        <v>99</v>
      </c>
      <c r="B11" s="12" t="s">
        <v>98</v>
      </c>
      <c r="C11" s="2"/>
      <c r="D11" s="17">
        <f>SUM(lookups!O18)</f>
        <v>200000</v>
      </c>
      <c r="E11" s="4"/>
      <c r="F11" s="7"/>
      <c r="O11" s="289"/>
    </row>
    <row r="12" spans="1:17" ht="15.75" x14ac:dyDescent="0.25">
      <c r="A12" s="22" t="s">
        <v>93</v>
      </c>
      <c r="B12" s="12" t="s">
        <v>100</v>
      </c>
      <c r="C12" s="2"/>
      <c r="D12" s="32">
        <f>SUM('B - Operating Budget'!C38)</f>
        <v>90000</v>
      </c>
      <c r="E12" s="4"/>
      <c r="F12" s="7"/>
      <c r="O12" s="288"/>
      <c r="Q12" s="25"/>
    </row>
    <row r="13" spans="1:17" ht="15.75" x14ac:dyDescent="0.25">
      <c r="A13" s="22" t="s">
        <v>99</v>
      </c>
      <c r="B13" s="12" t="s">
        <v>100</v>
      </c>
      <c r="C13" s="2"/>
      <c r="D13" s="17">
        <f>SUM('B - Operating Budget'!B38)</f>
        <v>90000</v>
      </c>
      <c r="E13" s="4"/>
      <c r="F13" s="7"/>
      <c r="I13" s="25"/>
      <c r="O13" s="288"/>
    </row>
    <row r="14" spans="1:17" ht="15.75" x14ac:dyDescent="0.25">
      <c r="A14" s="22" t="s">
        <v>93</v>
      </c>
      <c r="B14" s="12" t="s">
        <v>101</v>
      </c>
      <c r="C14" s="17">
        <f>VLOOKUP(B1,'FY25 Final Allocations 5-10-24'!1:1048576,3,FALSE)</f>
        <v>89636</v>
      </c>
      <c r="D14" s="17">
        <f>SUM(D10+D12)</f>
        <v>290000</v>
      </c>
      <c r="E14" s="17">
        <f>SUM(D14-C14)</f>
        <v>200364</v>
      </c>
      <c r="F14" s="11"/>
      <c r="O14" s="289"/>
    </row>
    <row r="15" spans="1:17" ht="15.75" x14ac:dyDescent="0.25">
      <c r="A15" s="22" t="s">
        <v>102</v>
      </c>
      <c r="B15" s="13"/>
      <c r="C15" s="1"/>
      <c r="D15" s="1"/>
      <c r="E15" s="1"/>
      <c r="F15" s="3"/>
    </row>
    <row r="16" spans="1:17" ht="16.5" thickBot="1" x14ac:dyDescent="0.3">
      <c r="A16" s="41"/>
      <c r="B16" s="14" t="s">
        <v>51</v>
      </c>
      <c r="C16" s="19">
        <f>SUM(C9+C14)</f>
        <v>296744</v>
      </c>
      <c r="D16" s="19">
        <f>SUM(D9:D13)</f>
        <v>787108</v>
      </c>
      <c r="E16" s="9"/>
      <c r="F16" s="10"/>
      <c r="N16" s="250"/>
    </row>
    <row r="17" spans="1:15" x14ac:dyDescent="0.25">
      <c r="A17" s="24"/>
      <c r="B17" s="24"/>
      <c r="C17" s="24"/>
      <c r="D17" s="24"/>
      <c r="E17" s="24"/>
      <c r="F17" s="24"/>
      <c r="O17" s="288"/>
    </row>
    <row r="18" spans="1:15" x14ac:dyDescent="0.25">
      <c r="A18" s="24"/>
      <c r="B18" s="24"/>
      <c r="C18" s="24"/>
      <c r="D18" s="24"/>
      <c r="E18" s="24"/>
      <c r="F18" s="24"/>
      <c r="O18" s="289"/>
    </row>
    <row r="19" spans="1:15" ht="15.75" thickBot="1" x14ac:dyDescent="0.3">
      <c r="A19" s="24"/>
      <c r="B19" s="24"/>
      <c r="C19" s="24"/>
      <c r="D19" s="24"/>
      <c r="E19" s="24"/>
      <c r="F19" s="24"/>
      <c r="O19" s="288"/>
    </row>
    <row r="20" spans="1:15" ht="15.75" x14ac:dyDescent="0.25">
      <c r="A20" s="24"/>
      <c r="B20" s="341" t="s">
        <v>103</v>
      </c>
      <c r="C20" s="342"/>
      <c r="D20" s="342"/>
      <c r="E20" s="343"/>
      <c r="F20" s="33"/>
      <c r="O20" s="288"/>
    </row>
    <row r="21" spans="1:15" x14ac:dyDescent="0.25">
      <c r="A21" s="24"/>
      <c r="B21" s="42"/>
      <c r="C21" s="24"/>
      <c r="D21" s="24"/>
      <c r="E21" s="43"/>
      <c r="F21" s="24"/>
      <c r="O21" s="289"/>
    </row>
    <row r="22" spans="1:15" ht="22.15" customHeight="1" x14ac:dyDescent="0.25">
      <c r="A22" s="24"/>
      <c r="B22" s="36" t="s">
        <v>88</v>
      </c>
      <c r="C22" s="15" t="s">
        <v>55</v>
      </c>
      <c r="D22" s="15" t="s">
        <v>56</v>
      </c>
      <c r="E22" s="37" t="s">
        <v>51</v>
      </c>
      <c r="F22" s="309"/>
      <c r="O22" s="289"/>
    </row>
    <row r="23" spans="1:15" ht="15.75" x14ac:dyDescent="0.25">
      <c r="A23" s="24"/>
      <c r="B23" s="5" t="s">
        <v>94</v>
      </c>
      <c r="C23" s="4"/>
      <c r="D23" s="17">
        <f>SUM(D5+D6)</f>
        <v>207108</v>
      </c>
      <c r="E23" s="18">
        <f t="shared" ref="E23:E30" si="1">SUM(C23:D23)</f>
        <v>207108</v>
      </c>
      <c r="F23" s="34"/>
    </row>
    <row r="24" spans="1:15" ht="15.75" x14ac:dyDescent="0.25">
      <c r="A24" s="24"/>
      <c r="B24" s="5" t="s">
        <v>96</v>
      </c>
      <c r="C24" s="4"/>
      <c r="D24" s="17">
        <f>SUM(D7)</f>
        <v>0</v>
      </c>
      <c r="E24" s="18">
        <f t="shared" si="1"/>
        <v>0</v>
      </c>
      <c r="F24" s="34"/>
      <c r="N24" s="340"/>
      <c r="O24" s="340"/>
    </row>
    <row r="25" spans="1:15" ht="15.75" customHeight="1" x14ac:dyDescent="0.25">
      <c r="A25" s="24"/>
      <c r="B25" s="5"/>
      <c r="C25" s="4"/>
      <c r="D25" s="290"/>
      <c r="E25" s="291"/>
      <c r="F25" s="34"/>
      <c r="N25" s="340"/>
      <c r="O25" s="340"/>
    </row>
    <row r="26" spans="1:15" ht="16.5" thickBot="1" x14ac:dyDescent="0.3">
      <c r="A26" s="24"/>
      <c r="B26" s="5" t="s">
        <v>98</v>
      </c>
      <c r="C26" s="19">
        <f>SUM(D11)</f>
        <v>200000</v>
      </c>
      <c r="D26" s="19">
        <f>SUM(D10)</f>
        <v>200000</v>
      </c>
      <c r="E26" s="21">
        <f t="shared" si="1"/>
        <v>400000</v>
      </c>
      <c r="F26" s="35"/>
      <c r="N26" s="340"/>
      <c r="O26" s="340"/>
    </row>
    <row r="27" spans="1:15" ht="15.75" x14ac:dyDescent="0.25">
      <c r="A27" s="24"/>
      <c r="B27" s="5" t="s">
        <v>104</v>
      </c>
      <c r="C27" s="281">
        <f>SUM('B - Operating Budget'!B35)</f>
        <v>0</v>
      </c>
      <c r="D27" s="281">
        <f>SUM('B - Operating Budget'!C35)</f>
        <v>0</v>
      </c>
      <c r="E27" s="282"/>
      <c r="F27" s="35"/>
      <c r="N27" s="340"/>
      <c r="O27" s="340"/>
    </row>
    <row r="28" spans="1:15" ht="16.5" thickBot="1" x14ac:dyDescent="0.3">
      <c r="A28" s="24"/>
      <c r="B28" s="5" t="s">
        <v>105</v>
      </c>
      <c r="C28" s="19">
        <f>SUM('B - Operating Budget'!B36)</f>
        <v>90000</v>
      </c>
      <c r="D28" s="19">
        <f>SUM('B - Operating Budget'!C36)</f>
        <v>90000</v>
      </c>
      <c r="E28" s="21"/>
      <c r="F28" s="35"/>
      <c r="N28" s="340"/>
      <c r="O28" s="340"/>
    </row>
    <row r="29" spans="1:15" ht="15.75" x14ac:dyDescent="0.25">
      <c r="A29" s="24"/>
      <c r="B29" s="5" t="s">
        <v>106</v>
      </c>
      <c r="C29" s="281">
        <f>SUM(D13)</f>
        <v>90000</v>
      </c>
      <c r="D29" s="281">
        <f>SUM(D12)</f>
        <v>90000</v>
      </c>
      <c r="E29" s="282">
        <f t="shared" si="1"/>
        <v>180000</v>
      </c>
      <c r="F29" s="35"/>
      <c r="N29" s="340"/>
      <c r="O29" s="340"/>
    </row>
    <row r="30" spans="1:15" ht="16.5" thickBot="1" x14ac:dyDescent="0.3">
      <c r="A30" s="24"/>
      <c r="B30" s="5" t="s">
        <v>107</v>
      </c>
      <c r="C30" s="285">
        <f>SUM(C26+C29)</f>
        <v>290000</v>
      </c>
      <c r="D30" s="285">
        <f>SUM(D26+D29)</f>
        <v>290000</v>
      </c>
      <c r="E30" s="286">
        <f t="shared" si="1"/>
        <v>580000</v>
      </c>
      <c r="F30" s="34"/>
      <c r="N30" s="340"/>
      <c r="O30" s="340"/>
    </row>
    <row r="31" spans="1:15" ht="16.5" thickTop="1" x14ac:dyDescent="0.25">
      <c r="A31" s="24"/>
      <c r="B31" s="5"/>
      <c r="C31" s="283"/>
      <c r="D31" s="283"/>
      <c r="E31" s="284"/>
      <c r="F31" s="35"/>
      <c r="N31" s="340"/>
      <c r="O31" s="340"/>
    </row>
    <row r="32" spans="1:15" ht="16.5" thickBot="1" x14ac:dyDescent="0.3">
      <c r="A32" s="24"/>
      <c r="B32" s="6" t="s">
        <v>51</v>
      </c>
      <c r="C32" s="19">
        <f>SUM(C30)</f>
        <v>290000</v>
      </c>
      <c r="D32" s="19">
        <f>SUM(D23:D25)+D30</f>
        <v>497108</v>
      </c>
      <c r="E32" s="21">
        <f>SUM(C32+D32)</f>
        <v>787108</v>
      </c>
      <c r="F32" s="35"/>
      <c r="N32" s="340"/>
      <c r="O32" s="340"/>
    </row>
    <row r="33" spans="14:15" x14ac:dyDescent="0.25">
      <c r="N33" s="340"/>
      <c r="O33" s="340"/>
    </row>
    <row r="34" spans="14:15" x14ac:dyDescent="0.25">
      <c r="N34" s="340"/>
      <c r="O34" s="340"/>
    </row>
    <row r="42" spans="14:15" x14ac:dyDescent="0.2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G1" sqref="G1"/>
    </sheetView>
  </sheetViews>
  <sheetFormatPr defaultColWidth="8.7109375" defaultRowHeight="15" x14ac:dyDescent="0.25"/>
  <cols>
    <col min="1" max="1" width="28.42578125" style="24" customWidth="1"/>
    <col min="2" max="2" width="14.42578125" style="107" customWidth="1"/>
    <col min="3" max="3" width="23.5703125" style="24" customWidth="1"/>
    <col min="4" max="7" width="16.85546875" style="24" customWidth="1"/>
    <col min="8" max="16384" width="8.7109375" style="24"/>
  </cols>
  <sheetData>
    <row r="1" spans="1:16" ht="29.25" x14ac:dyDescent="0.25">
      <c r="A1" s="44" t="s">
        <v>0</v>
      </c>
      <c r="B1" s="312" t="str">
        <f>'A-Contracts-Partnerships Matrix'!B1</f>
        <v>MONTANA</v>
      </c>
      <c r="C1" s="39"/>
      <c r="D1" s="39"/>
      <c r="E1" s="39"/>
      <c r="F1" s="40" t="s">
        <v>2</v>
      </c>
      <c r="G1" s="56" t="str">
        <f>'A-Contracts-Partnerships Matrix'!J1</f>
        <v>FY2025</v>
      </c>
    </row>
    <row r="2" spans="1:16" ht="16.5" thickBot="1" x14ac:dyDescent="0.3">
      <c r="A2" s="323" t="s">
        <v>108</v>
      </c>
      <c r="B2" s="324"/>
      <c r="C2" s="324"/>
      <c r="D2" s="324"/>
      <c r="E2" s="324"/>
      <c r="F2" s="324"/>
      <c r="G2" s="347"/>
    </row>
    <row r="3" spans="1:16" x14ac:dyDescent="0.25">
      <c r="A3" s="350" t="s">
        <v>109</v>
      </c>
      <c r="B3" s="351"/>
      <c r="C3" s="351"/>
      <c r="D3" s="351"/>
      <c r="E3" s="351"/>
      <c r="F3" s="351"/>
      <c r="G3" s="352"/>
    </row>
    <row r="4" spans="1:16" ht="79.5" customHeight="1" x14ac:dyDescent="0.25">
      <c r="A4" s="325" t="s">
        <v>110</v>
      </c>
      <c r="B4" s="326"/>
      <c r="C4" s="326"/>
      <c r="D4" s="326"/>
      <c r="E4" s="326"/>
      <c r="F4" s="326"/>
      <c r="G4" s="327"/>
    </row>
    <row r="5" spans="1:16" ht="18" customHeight="1" thickBot="1" x14ac:dyDescent="0.3">
      <c r="A5" s="303"/>
      <c r="B5" s="304"/>
      <c r="C5" s="304"/>
      <c r="D5" s="304"/>
      <c r="E5" s="304"/>
      <c r="F5" s="304"/>
      <c r="G5" s="305"/>
    </row>
    <row r="6" spans="1:16" ht="18" customHeight="1" thickBot="1" x14ac:dyDescent="0.3">
      <c r="A6" s="248" t="s">
        <v>35</v>
      </c>
      <c r="B6" s="157">
        <f>COUNT(B9:B107)+COUNTIF(B9:B107,"X")</f>
        <v>0</v>
      </c>
      <c r="C6" s="186"/>
      <c r="D6" s="249">
        <f t="shared" ref="D6:F6" si="0">SUM(D9:D107)</f>
        <v>0</v>
      </c>
      <c r="E6" s="249">
        <f t="shared" si="0"/>
        <v>0</v>
      </c>
      <c r="F6" s="249">
        <f t="shared" si="0"/>
        <v>0</v>
      </c>
      <c r="G6" s="249">
        <f>SUM(G9:G107)</f>
        <v>0</v>
      </c>
    </row>
    <row r="7" spans="1:16" ht="18" customHeight="1" x14ac:dyDescent="0.25">
      <c r="A7" s="303"/>
      <c r="B7" s="304"/>
      <c r="C7" s="304"/>
      <c r="D7" s="304"/>
      <c r="E7" s="304"/>
      <c r="F7" s="304"/>
      <c r="G7" s="305"/>
    </row>
    <row r="8" spans="1:16" ht="57.75" x14ac:dyDescent="0.25">
      <c r="A8" s="153" t="s">
        <v>111</v>
      </c>
      <c r="B8" s="154" t="s">
        <v>112</v>
      </c>
      <c r="C8" s="154" t="s">
        <v>113</v>
      </c>
      <c r="D8" s="154" t="s">
        <v>114</v>
      </c>
      <c r="E8" s="154" t="s">
        <v>115</v>
      </c>
      <c r="F8" s="154" t="s">
        <v>116</v>
      </c>
      <c r="G8" s="155" t="s">
        <v>117</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5.75" thickBot="1" x14ac:dyDescent="0.3"/>
    <row r="117" spans="1:7" ht="15.75" thickBot="1" x14ac:dyDescent="0.3">
      <c r="A117" s="156" t="s">
        <v>35</v>
      </c>
      <c r="B117" s="157">
        <f>COUNT(B9:B107)+COUNTIF(B9:B107,"X")</f>
        <v>0</v>
      </c>
      <c r="C117" s="158"/>
      <c r="D117" s="159">
        <f>SUM(D9:D107)</f>
        <v>0</v>
      </c>
      <c r="E117" s="159">
        <f>SUM(E9:E107)</f>
        <v>0</v>
      </c>
      <c r="F117" s="159">
        <f>SUM(F9:F107)</f>
        <v>0</v>
      </c>
      <c r="G117" s="159">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topLeftCell="C1" workbookViewId="0">
      <selection activeCell="Z1" sqref="Z1"/>
    </sheetView>
  </sheetViews>
  <sheetFormatPr defaultColWidth="8.7109375" defaultRowHeight="15" x14ac:dyDescent="0.25"/>
  <cols>
    <col min="1" max="1" width="25.7109375" style="24" customWidth="1"/>
    <col min="2" max="2" width="9.42578125" style="24" customWidth="1"/>
    <col min="3" max="14" width="7.7109375" style="24" customWidth="1"/>
    <col min="15" max="15" width="8.5703125" style="24" customWidth="1"/>
    <col min="16" max="16" width="9.140625" style="24" customWidth="1"/>
    <col min="17" max="17" width="9.28515625" style="24" customWidth="1"/>
    <col min="18" max="25" width="8.5703125" style="24" customWidth="1"/>
    <col min="26" max="26" width="12.28515625" style="24" customWidth="1"/>
    <col min="27" max="16384" width="8.7109375" style="24"/>
  </cols>
  <sheetData>
    <row r="1" spans="1:26" ht="29.25" x14ac:dyDescent="0.25">
      <c r="A1" s="44" t="s">
        <v>0</v>
      </c>
      <c r="B1" s="356" t="str">
        <f>'A-Contracts-Partnerships Matrix'!B1</f>
        <v>MONTANA</v>
      </c>
      <c r="C1" s="356"/>
      <c r="D1" s="39"/>
      <c r="E1" s="39"/>
      <c r="F1" s="39"/>
      <c r="G1" s="39"/>
      <c r="H1" s="39"/>
      <c r="I1" s="39"/>
      <c r="J1" s="39"/>
      <c r="K1" s="39"/>
      <c r="L1" s="39"/>
      <c r="M1" s="39"/>
      <c r="N1" s="39"/>
      <c r="O1" s="39"/>
      <c r="P1" s="39"/>
      <c r="Q1" s="39"/>
      <c r="R1" s="39"/>
      <c r="S1" s="39"/>
      <c r="T1" s="39"/>
      <c r="U1" s="39"/>
      <c r="V1" s="39"/>
      <c r="W1" s="39"/>
      <c r="X1" s="357" t="s">
        <v>2</v>
      </c>
      <c r="Y1" s="357"/>
      <c r="Z1" s="56" t="str">
        <f>'A-Contracts-Partnerships Matrix'!J1</f>
        <v>FY2025</v>
      </c>
    </row>
    <row r="2" spans="1:26" ht="15.75" x14ac:dyDescent="0.25">
      <c r="A2" s="323" t="s">
        <v>118</v>
      </c>
      <c r="B2" s="324"/>
      <c r="C2" s="324"/>
      <c r="D2" s="324"/>
      <c r="E2" s="324"/>
      <c r="F2" s="324"/>
      <c r="G2" s="324"/>
      <c r="H2" s="324"/>
      <c r="I2" s="324"/>
      <c r="J2" s="324"/>
      <c r="K2" s="324"/>
      <c r="L2" s="324"/>
      <c r="M2" s="324"/>
      <c r="N2" s="324"/>
      <c r="O2" s="324"/>
      <c r="P2" s="324"/>
      <c r="Q2" s="324"/>
      <c r="R2" s="324"/>
      <c r="S2" s="324"/>
      <c r="T2" s="324"/>
      <c r="U2" s="324"/>
      <c r="V2" s="324"/>
      <c r="W2" s="324"/>
      <c r="X2" s="324"/>
      <c r="Y2" s="324"/>
      <c r="Z2" s="347"/>
    </row>
    <row r="3" spans="1:26" ht="27.6" customHeight="1" x14ac:dyDescent="0.25">
      <c r="A3" s="353" t="s">
        <v>119</v>
      </c>
      <c r="B3" s="354"/>
      <c r="C3" s="354"/>
      <c r="D3" s="354"/>
      <c r="E3" s="354"/>
      <c r="F3" s="354"/>
      <c r="G3" s="354"/>
      <c r="H3" s="354"/>
      <c r="I3" s="354"/>
      <c r="J3" s="354"/>
      <c r="K3" s="354"/>
      <c r="L3" s="354"/>
      <c r="M3" s="354"/>
      <c r="N3" s="354"/>
      <c r="O3" s="354"/>
      <c r="P3" s="354"/>
      <c r="Q3" s="354"/>
      <c r="R3" s="354"/>
      <c r="S3" s="354"/>
      <c r="T3" s="354"/>
      <c r="U3" s="354"/>
      <c r="V3" s="354"/>
      <c r="W3" s="354"/>
      <c r="X3" s="354"/>
      <c r="Y3" s="354"/>
      <c r="Z3" s="355"/>
    </row>
    <row r="4" spans="1:26" ht="18" customHeight="1" x14ac:dyDescent="0.25">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45" customHeight="1" x14ac:dyDescent="0.25">
      <c r="A5" s="194" t="s">
        <v>120</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25">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8.9" customHeight="1" x14ac:dyDescent="0.25">
      <c r="A7" s="160"/>
      <c r="B7" s="358" t="s">
        <v>121</v>
      </c>
      <c r="C7" s="358"/>
      <c r="D7" s="358"/>
      <c r="E7" s="358"/>
      <c r="F7" s="358"/>
      <c r="G7" s="358"/>
      <c r="H7" s="358"/>
      <c r="I7" s="358"/>
      <c r="J7" s="358"/>
      <c r="K7" s="358"/>
      <c r="L7" s="358"/>
      <c r="M7" s="358"/>
      <c r="N7" s="358"/>
      <c r="O7" s="358"/>
      <c r="P7" s="358"/>
      <c r="Q7" s="358"/>
      <c r="R7" s="358"/>
      <c r="S7" s="358"/>
      <c r="T7" s="358"/>
      <c r="U7" s="358"/>
      <c r="V7" s="358"/>
      <c r="W7" s="358"/>
      <c r="X7" s="358"/>
      <c r="Y7" s="358"/>
      <c r="Z7" s="154" t="s">
        <v>122</v>
      </c>
    </row>
    <row r="8" spans="1:26" ht="29.25" x14ac:dyDescent="0.25">
      <c r="A8" s="161" t="s">
        <v>111</v>
      </c>
      <c r="B8" s="129" t="s">
        <v>123</v>
      </c>
      <c r="C8" s="129" t="s">
        <v>124</v>
      </c>
      <c r="D8" s="129" t="s">
        <v>125</v>
      </c>
      <c r="E8" s="129" t="s">
        <v>126</v>
      </c>
      <c r="F8" s="129" t="s">
        <v>127</v>
      </c>
      <c r="G8" s="129" t="s">
        <v>128</v>
      </c>
      <c r="H8" s="129" t="s">
        <v>129</v>
      </c>
      <c r="I8" s="129" t="s">
        <v>130</v>
      </c>
      <c r="J8" s="129" t="s">
        <v>131</v>
      </c>
      <c r="K8" s="129" t="s">
        <v>132</v>
      </c>
      <c r="L8" s="129" t="s">
        <v>133</v>
      </c>
      <c r="M8" s="129" t="s">
        <v>134</v>
      </c>
      <c r="N8" s="129" t="s">
        <v>135</v>
      </c>
      <c r="O8" s="162" t="s">
        <v>136</v>
      </c>
      <c r="P8" s="162" t="s">
        <v>137</v>
      </c>
      <c r="Q8" s="162" t="s">
        <v>138</v>
      </c>
      <c r="R8" s="162" t="s">
        <v>139</v>
      </c>
      <c r="S8" s="162" t="s">
        <v>140</v>
      </c>
      <c r="T8" s="162" t="s">
        <v>141</v>
      </c>
      <c r="U8" s="162" t="s">
        <v>142</v>
      </c>
      <c r="V8" s="162" t="s">
        <v>143</v>
      </c>
      <c r="W8" s="162" t="s">
        <v>144</v>
      </c>
      <c r="X8" s="163" t="s">
        <v>145</v>
      </c>
      <c r="Y8" s="163" t="s">
        <v>146</v>
      </c>
      <c r="Z8" s="164" t="s">
        <v>147</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5.75"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5.75" thickBot="1" x14ac:dyDescent="0.3"/>
    <row r="120" spans="1:25" ht="30.75" thickBot="1" x14ac:dyDescent="0.3">
      <c r="A120" s="170" t="s">
        <v>148</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topLeftCell="A10" workbookViewId="0">
      <selection activeCell="E25" sqref="E25"/>
    </sheetView>
  </sheetViews>
  <sheetFormatPr defaultColWidth="9.140625" defaultRowHeight="15" x14ac:dyDescent="0.25"/>
  <cols>
    <col min="1" max="1" width="34.140625" style="73" customWidth="1"/>
    <col min="2" max="2" width="37.5703125" style="73" customWidth="1"/>
    <col min="3" max="3" width="15.5703125" style="73" customWidth="1"/>
    <col min="4" max="4" width="21.28515625" style="73" customWidth="1"/>
    <col min="5" max="5" width="19.42578125" style="24" customWidth="1"/>
    <col min="6" max="16384" width="9.140625" style="24"/>
  </cols>
  <sheetData>
    <row r="1" spans="1:5" ht="29.25" x14ac:dyDescent="0.25">
      <c r="A1" s="44" t="s">
        <v>0</v>
      </c>
      <c r="B1" s="39" t="str">
        <f>'A-Contracts-Partnerships Matrix'!B1</f>
        <v>MONTANA</v>
      </c>
      <c r="C1" s="40" t="s">
        <v>2</v>
      </c>
      <c r="D1" s="40"/>
      <c r="E1" s="56" t="str">
        <f>'A-Contracts-Partnerships Matrix'!J1</f>
        <v>FY2025</v>
      </c>
    </row>
    <row r="2" spans="1:5" ht="15.75" x14ac:dyDescent="0.25">
      <c r="A2" s="334" t="s">
        <v>149</v>
      </c>
      <c r="B2" s="335"/>
      <c r="C2" s="335"/>
      <c r="D2" s="335"/>
      <c r="E2" s="336"/>
    </row>
    <row r="3" spans="1:5" ht="51.6" customHeight="1" x14ac:dyDescent="0.25">
      <c r="A3" s="353" t="s">
        <v>150</v>
      </c>
      <c r="B3" s="362"/>
      <c r="C3" s="362"/>
      <c r="D3" s="362"/>
      <c r="E3" s="363"/>
    </row>
    <row r="4" spans="1:5" x14ac:dyDescent="0.25">
      <c r="A4" s="69"/>
      <c r="B4" s="70" t="s">
        <v>151</v>
      </c>
      <c r="C4" s="270" t="s">
        <v>152</v>
      </c>
      <c r="D4" s="270" t="s">
        <v>153</v>
      </c>
      <c r="E4" s="71" t="s">
        <v>154</v>
      </c>
    </row>
    <row r="5" spans="1:5" x14ac:dyDescent="0.25">
      <c r="A5" s="359" t="s">
        <v>155</v>
      </c>
      <c r="B5" s="360"/>
      <c r="C5" s="360"/>
      <c r="D5" s="360"/>
      <c r="E5" s="361"/>
    </row>
    <row r="6" spans="1:5" ht="90" x14ac:dyDescent="0.25">
      <c r="A6" s="72" t="s">
        <v>156</v>
      </c>
      <c r="B6" s="73" t="s">
        <v>157</v>
      </c>
      <c r="C6" s="267">
        <v>100000</v>
      </c>
      <c r="D6" s="267"/>
      <c r="E6" s="272">
        <v>20851</v>
      </c>
    </row>
    <row r="7" spans="1:5" s="79" customFormat="1" ht="165" x14ac:dyDescent="0.25">
      <c r="A7" s="72" t="s">
        <v>158</v>
      </c>
      <c r="B7" s="73" t="s">
        <v>159</v>
      </c>
      <c r="C7" s="268" t="s">
        <v>160</v>
      </c>
      <c r="D7" s="279"/>
      <c r="E7" s="272">
        <v>20851</v>
      </c>
    </row>
    <row r="8" spans="1:5" s="79" customFormat="1" ht="30" x14ac:dyDescent="0.25">
      <c r="A8" s="72"/>
      <c r="B8" s="73"/>
      <c r="C8" s="268" t="s">
        <v>161</v>
      </c>
      <c r="D8" s="279"/>
      <c r="E8" s="272"/>
    </row>
    <row r="9" spans="1:5" s="79" customFormat="1" ht="30" x14ac:dyDescent="0.25">
      <c r="A9" s="72"/>
      <c r="B9" s="73"/>
      <c r="C9" s="268" t="s">
        <v>162</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5" x14ac:dyDescent="0.25">
      <c r="A12" s="72" t="s">
        <v>163</v>
      </c>
      <c r="B12" s="73" t="s">
        <v>164</v>
      </c>
      <c r="C12" s="268" t="s">
        <v>165</v>
      </c>
      <c r="D12" s="268"/>
      <c r="E12" s="273">
        <f>SUM(E7:E11)</f>
        <v>20851</v>
      </c>
    </row>
    <row r="13" spans="1:5" ht="30" x14ac:dyDescent="0.25">
      <c r="A13" s="72" t="s">
        <v>166</v>
      </c>
      <c r="C13" s="269">
        <v>1</v>
      </c>
      <c r="D13" s="269"/>
      <c r="E13" s="74">
        <f>E12/E6</f>
        <v>1</v>
      </c>
    </row>
    <row r="14" spans="1:5" x14ac:dyDescent="0.25">
      <c r="A14" s="359" t="s">
        <v>167</v>
      </c>
      <c r="B14" s="360"/>
      <c r="C14" s="360"/>
      <c r="D14" s="360"/>
      <c r="E14" s="361"/>
    </row>
    <row r="15" spans="1:5" x14ac:dyDescent="0.25">
      <c r="A15" s="72" t="s">
        <v>168</v>
      </c>
      <c r="C15" s="267">
        <v>6500</v>
      </c>
      <c r="D15" s="267"/>
      <c r="E15" s="272">
        <v>1784</v>
      </c>
    </row>
    <row r="16" spans="1:5" ht="30" x14ac:dyDescent="0.25">
      <c r="A16" s="72" t="s">
        <v>169</v>
      </c>
      <c r="C16" s="268">
        <v>0</v>
      </c>
      <c r="D16" s="268"/>
      <c r="E16" s="272">
        <v>402</v>
      </c>
    </row>
    <row r="17" spans="1:5" ht="60" x14ac:dyDescent="0.25">
      <c r="A17" s="72" t="s">
        <v>170</v>
      </c>
      <c r="C17" s="268">
        <v>250</v>
      </c>
      <c r="D17" s="268"/>
      <c r="E17" s="272">
        <v>400</v>
      </c>
    </row>
    <row r="18" spans="1:5" ht="30" x14ac:dyDescent="0.25">
      <c r="A18" s="72" t="s">
        <v>171</v>
      </c>
      <c r="C18" s="267">
        <v>6250</v>
      </c>
      <c r="D18" s="267"/>
      <c r="E18" s="273">
        <f>E15-(E16+E17)</f>
        <v>982</v>
      </c>
    </row>
    <row r="19" spans="1:5" x14ac:dyDescent="0.25">
      <c r="A19" s="359" t="s">
        <v>172</v>
      </c>
      <c r="B19" s="360"/>
      <c r="C19" s="360"/>
      <c r="D19" s="360"/>
      <c r="E19" s="361"/>
    </row>
    <row r="20" spans="1:5" ht="30" x14ac:dyDescent="0.25">
      <c r="A20" s="72" t="s">
        <v>173</v>
      </c>
      <c r="C20" s="268">
        <v>0</v>
      </c>
      <c r="D20" s="268"/>
      <c r="E20" s="272">
        <v>0</v>
      </c>
    </row>
    <row r="21" spans="1:5" ht="30" x14ac:dyDescent="0.25">
      <c r="A21" s="72" t="s">
        <v>174</v>
      </c>
      <c r="C21" s="267">
        <v>2000</v>
      </c>
      <c r="D21" s="267"/>
      <c r="E21" s="272">
        <v>1360</v>
      </c>
    </row>
    <row r="22" spans="1:5" ht="30" x14ac:dyDescent="0.25">
      <c r="A22" s="72" t="s">
        <v>175</v>
      </c>
      <c r="C22" s="267">
        <v>2000</v>
      </c>
      <c r="D22" s="267"/>
      <c r="E22" s="273">
        <f>SUM(E20:E21)</f>
        <v>1360</v>
      </c>
    </row>
    <row r="23" spans="1:5" ht="30" x14ac:dyDescent="0.25">
      <c r="A23" s="72" t="s">
        <v>176</v>
      </c>
      <c r="B23" s="73" t="s">
        <v>177</v>
      </c>
      <c r="C23" s="268">
        <v>500</v>
      </c>
      <c r="D23" s="268"/>
      <c r="E23" s="272">
        <v>300</v>
      </c>
    </row>
    <row r="24" spans="1:5" s="84" customFormat="1" ht="14.25" x14ac:dyDescent="0.2">
      <c r="A24" s="359" t="s">
        <v>178</v>
      </c>
      <c r="B24" s="360"/>
      <c r="C24" s="360"/>
      <c r="D24" s="360"/>
      <c r="E24" s="361"/>
    </row>
    <row r="25" spans="1:5" ht="30" x14ac:dyDescent="0.25">
      <c r="A25" s="72" t="s">
        <v>179</v>
      </c>
      <c r="B25" s="73" t="s">
        <v>180</v>
      </c>
      <c r="C25" s="275">
        <v>2000</v>
      </c>
      <c r="D25" s="268"/>
      <c r="E25" s="272">
        <v>1360</v>
      </c>
    </row>
    <row r="26" spans="1:5" ht="30.75" thickBot="1" x14ac:dyDescent="0.3">
      <c r="A26" s="75" t="s">
        <v>181</v>
      </c>
      <c r="B26" s="76"/>
      <c r="C26" s="271">
        <v>1</v>
      </c>
      <c r="D26" s="271"/>
      <c r="E26" s="77">
        <f>E25/E22</f>
        <v>1</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98" zoomScaleNormal="98" workbookViewId="0">
      <pane xSplit="1" topLeftCell="B1" activePane="topRight" state="frozen"/>
      <selection pane="topRight" activeCell="E19" sqref="E19"/>
    </sheetView>
  </sheetViews>
  <sheetFormatPr defaultColWidth="8.7109375" defaultRowHeight="15" x14ac:dyDescent="0.25"/>
  <cols>
    <col min="1" max="1" width="21.28515625" style="73" customWidth="1"/>
    <col min="2" max="10" width="30.7109375" style="73" customWidth="1"/>
    <col min="11" max="12" width="20.7109375" style="73" customWidth="1"/>
    <col min="13" max="18" width="18.7109375" style="73" customWidth="1"/>
    <col min="19" max="19" width="20.85546875" style="73" customWidth="1"/>
    <col min="20" max="20" width="13.140625" style="73" customWidth="1"/>
    <col min="21" max="21" width="11.28515625" style="178" customWidth="1"/>
    <col min="22" max="22" width="12" style="179" customWidth="1"/>
    <col min="23" max="23" width="12.5703125" style="180" customWidth="1"/>
    <col min="24" max="25" width="14.42578125" style="179" customWidth="1"/>
    <col min="26" max="26" width="13.140625" style="178" customWidth="1"/>
    <col min="27" max="27" width="19.7109375" style="178" customWidth="1"/>
    <col min="28" max="28" width="25.140625" style="73" customWidth="1"/>
    <col min="29" max="29" width="15.42578125" style="181" customWidth="1"/>
    <col min="30" max="30" width="19.140625" style="181" customWidth="1"/>
    <col min="31" max="31" width="19.7109375" style="24" customWidth="1"/>
    <col min="32" max="32" width="21.85546875" style="298" customWidth="1"/>
    <col min="33" max="16384" width="8.7109375" style="24"/>
  </cols>
  <sheetData>
    <row r="1" spans="1:32" ht="29.25" x14ac:dyDescent="0.25">
      <c r="A1" s="44" t="s">
        <v>0</v>
      </c>
      <c r="B1" s="39" t="str">
        <f>'A-Contracts-Partnerships Matrix'!B1</f>
        <v>MONTANA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 customHeight="1" x14ac:dyDescent="0.25">
      <c r="A2" s="369" t="s">
        <v>182</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200"/>
    </row>
    <row r="3" spans="1:32" ht="19.149999999999999" customHeight="1" x14ac:dyDescent="0.2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200"/>
    </row>
    <row r="4" spans="1:32" x14ac:dyDescent="0.25">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3.5" x14ac:dyDescent="0.25">
      <c r="A5" s="200"/>
      <c r="S5" s="196" t="s">
        <v>183</v>
      </c>
      <c r="T5" s="196">
        <f>SUM(T12:T83)</f>
        <v>0</v>
      </c>
      <c r="U5" s="197"/>
      <c r="V5" s="198"/>
      <c r="W5" s="199"/>
      <c r="X5" s="198"/>
      <c r="Y5" s="197">
        <f>SUM(Y12:Y83)</f>
        <v>0</v>
      </c>
      <c r="Z5" s="197">
        <f>SUM(Z12:Z83)</f>
        <v>0</v>
      </c>
      <c r="AA5" s="197">
        <f>SUM(AA12:AA83)</f>
        <v>0</v>
      </c>
      <c r="AB5" s="196"/>
      <c r="AC5" s="197">
        <f t="shared" ref="AC5:AE5" si="0">SUM(AC12:AC83)</f>
        <v>0</v>
      </c>
      <c r="AD5" s="197">
        <f t="shared" si="0"/>
        <v>0</v>
      </c>
      <c r="AE5" s="294">
        <f t="shared" si="0"/>
        <v>0</v>
      </c>
      <c r="AF5" s="300"/>
    </row>
    <row r="6" spans="1:32" x14ac:dyDescent="0.25">
      <c r="A6" s="200"/>
      <c r="S6" s="301"/>
      <c r="T6" s="200"/>
      <c r="U6" s="201"/>
      <c r="V6" s="202"/>
      <c r="W6" s="203"/>
      <c r="X6" s="202"/>
      <c r="Y6" s="202"/>
      <c r="Z6" s="201"/>
      <c r="AA6" s="201"/>
      <c r="AB6" s="200"/>
      <c r="AC6" s="204"/>
      <c r="AD6" s="204"/>
      <c r="AE6" s="84"/>
      <c r="AF6" s="300"/>
    </row>
    <row r="7" spans="1:32" ht="43.5" x14ac:dyDescent="0.25">
      <c r="A7" s="200"/>
      <c r="S7" s="206" t="s">
        <v>184</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15" customHeight="1" thickBot="1" x14ac:dyDescent="0.3">
      <c r="A8" s="200"/>
      <c r="S8" s="212" t="s">
        <v>185</v>
      </c>
      <c r="T8" s="212">
        <f>SUMIF($X$12:$X$83,50%,T$12:T$83)</f>
        <v>0</v>
      </c>
      <c r="U8" s="213"/>
      <c r="V8" s="214"/>
      <c r="W8" s="215"/>
      <c r="X8" s="214"/>
      <c r="Y8" s="213">
        <f>SUMIF($X$12:$X$83,50%,Y$12:Y$83)</f>
        <v>0</v>
      </c>
      <c r="Z8" s="213">
        <f>SUMIF($X$12:$X$83,50%,Z$12:Z$83)</f>
        <v>0</v>
      </c>
      <c r="AA8" s="213">
        <f>SUMIF($X$12:$X$83,50%,AA$12:AA$83)</f>
        <v>0</v>
      </c>
      <c r="AB8" s="212"/>
      <c r="AC8" s="213">
        <f>SUMIF($X$12:$X$83,50%,AC$12:AC$83)</f>
        <v>0</v>
      </c>
      <c r="AD8" s="213">
        <f>SUMIF($X$12:$X$83,50%,AD$12:AD$83)</f>
        <v>0</v>
      </c>
      <c r="AE8" s="295">
        <f>SUMIF($X$12:$X$83,50%,AE$12:AE$83)</f>
        <v>0</v>
      </c>
      <c r="AF8" s="300"/>
    </row>
    <row r="9" spans="1:32" ht="13.15" customHeight="1" thickBot="1" x14ac:dyDescent="0.3">
      <c r="A9" s="200"/>
      <c r="T9" s="200"/>
      <c r="U9" s="258"/>
      <c r="V9" s="259"/>
      <c r="W9" s="260"/>
      <c r="X9" s="259"/>
      <c r="Y9" s="259"/>
      <c r="Z9" s="258"/>
      <c r="AA9" s="258"/>
      <c r="AB9" s="200"/>
      <c r="AC9" s="258"/>
      <c r="AD9" s="258"/>
      <c r="AE9" s="258"/>
      <c r="AF9" s="300"/>
    </row>
    <row r="10" spans="1:32" ht="19.899999999999999" customHeight="1" thickBot="1" x14ac:dyDescent="0.3">
      <c r="A10" s="364" t="s">
        <v>186</v>
      </c>
      <c r="B10" s="365"/>
      <c r="C10" s="365"/>
      <c r="D10" s="365"/>
      <c r="E10" s="365"/>
      <c r="F10" s="365"/>
      <c r="G10" s="365"/>
      <c r="H10" s="365"/>
      <c r="I10" s="365"/>
      <c r="J10" s="365"/>
      <c r="K10" s="365"/>
      <c r="L10" s="365"/>
      <c r="M10" s="365"/>
      <c r="N10" s="365"/>
      <c r="O10" s="365"/>
      <c r="P10" s="365"/>
      <c r="Q10" s="365"/>
      <c r="R10" s="365"/>
      <c r="S10" s="366"/>
      <c r="T10" s="367" t="s">
        <v>187</v>
      </c>
      <c r="U10" s="368"/>
      <c r="V10" s="368"/>
      <c r="W10" s="368"/>
      <c r="X10" s="368"/>
      <c r="Y10" s="368"/>
      <c r="Z10" s="368"/>
      <c r="AA10" s="368"/>
      <c r="AB10" s="368"/>
      <c r="AC10" s="368"/>
      <c r="AD10" s="368"/>
      <c r="AE10" s="368"/>
      <c r="AF10" s="300"/>
    </row>
    <row r="11" spans="1:32" ht="159" customHeight="1" x14ac:dyDescent="0.25">
      <c r="A11" s="253" t="s">
        <v>188</v>
      </c>
      <c r="B11" s="254" t="s">
        <v>189</v>
      </c>
      <c r="C11" s="292" t="s">
        <v>190</v>
      </c>
      <c r="D11" s="292" t="s">
        <v>191</v>
      </c>
      <c r="E11" s="292" t="s">
        <v>192</v>
      </c>
      <c r="F11" s="292" t="s">
        <v>193</v>
      </c>
      <c r="G11" s="292" t="s">
        <v>194</v>
      </c>
      <c r="H11" s="292" t="s">
        <v>195</v>
      </c>
      <c r="I11" s="292" t="s">
        <v>196</v>
      </c>
      <c r="J11" s="292" t="s">
        <v>197</v>
      </c>
      <c r="K11" s="254" t="s">
        <v>198</v>
      </c>
      <c r="L11" s="292" t="s">
        <v>199</v>
      </c>
      <c r="M11" s="254" t="s">
        <v>200</v>
      </c>
      <c r="N11" s="254" t="s">
        <v>201</v>
      </c>
      <c r="O11" s="293" t="s">
        <v>202</v>
      </c>
      <c r="P11" s="293" t="s">
        <v>203</v>
      </c>
      <c r="Q11" s="262" t="s">
        <v>204</v>
      </c>
      <c r="R11" s="255" t="s">
        <v>205</v>
      </c>
      <c r="S11" s="266" t="s">
        <v>206</v>
      </c>
      <c r="T11" s="251" t="s">
        <v>207</v>
      </c>
      <c r="U11" s="216" t="s">
        <v>208</v>
      </c>
      <c r="V11" s="217" t="s">
        <v>209</v>
      </c>
      <c r="W11" s="218" t="s">
        <v>210</v>
      </c>
      <c r="X11" s="217" t="s">
        <v>211</v>
      </c>
      <c r="Y11" s="217" t="s">
        <v>212</v>
      </c>
      <c r="Z11" s="216" t="s">
        <v>213</v>
      </c>
      <c r="AA11" s="216" t="s">
        <v>214</v>
      </c>
      <c r="AB11" s="216" t="s">
        <v>215</v>
      </c>
      <c r="AC11" s="216" t="s">
        <v>216</v>
      </c>
      <c r="AD11" s="216" t="s">
        <v>217</v>
      </c>
      <c r="AE11" s="296" t="s">
        <v>218</v>
      </c>
    </row>
    <row r="12" spans="1:32" x14ac:dyDescent="0.25">
      <c r="A12" s="108"/>
      <c r="B12" s="109"/>
      <c r="C12" s="109"/>
      <c r="D12" s="109"/>
      <c r="E12" s="109"/>
      <c r="F12" s="109"/>
      <c r="G12" s="109"/>
      <c r="H12" s="109"/>
      <c r="I12" s="109"/>
      <c r="J12" s="109"/>
      <c r="K12" s="109"/>
      <c r="L12" s="109"/>
      <c r="M12" s="109"/>
      <c r="N12" s="109"/>
      <c r="O12" s="263"/>
      <c r="P12" s="263"/>
      <c r="Q12" s="263"/>
      <c r="R12" s="263"/>
      <c r="S12" s="256"/>
      <c r="T12" s="252"/>
      <c r="U12" s="219"/>
      <c r="V12" s="220"/>
      <c r="W12" s="221"/>
      <c r="X12" s="220"/>
      <c r="Y12" s="222">
        <f t="shared" ref="Y12:Y14" si="2">SUM(T12*U12*W12)</f>
        <v>0</v>
      </c>
      <c r="Z12" s="222">
        <f>SUM(Y12*V12)</f>
        <v>0</v>
      </c>
      <c r="AA12" s="222">
        <f>SUM(Z12*X12)</f>
        <v>0</v>
      </c>
      <c r="AB12" s="109"/>
      <c r="AC12" s="223"/>
      <c r="AD12" s="223"/>
      <c r="AE12" s="224">
        <f>SUM(AA12+AC12+AD12)</f>
        <v>0</v>
      </c>
    </row>
    <row r="13" spans="1:32" x14ac:dyDescent="0.25">
      <c r="A13" s="108"/>
      <c r="B13" s="109"/>
      <c r="C13" s="109"/>
      <c r="D13" s="109"/>
      <c r="E13" s="109"/>
      <c r="F13" s="109"/>
      <c r="G13" s="109"/>
      <c r="H13" s="109"/>
      <c r="I13" s="109"/>
      <c r="J13" s="109"/>
      <c r="K13" s="109"/>
      <c r="L13" s="109"/>
      <c r="M13" s="109"/>
      <c r="N13" s="109"/>
      <c r="O13" s="263"/>
      <c r="P13" s="263"/>
      <c r="Q13" s="263"/>
      <c r="R13" s="263"/>
      <c r="S13" s="256"/>
      <c r="T13" s="252"/>
      <c r="U13" s="219"/>
      <c r="V13" s="220"/>
      <c r="W13" s="221"/>
      <c r="X13" s="220"/>
      <c r="Y13" s="222">
        <f t="shared" si="2"/>
        <v>0</v>
      </c>
      <c r="Z13" s="222">
        <f t="shared" ref="Z13:Z76" si="3">SUM(Y13*V13)</f>
        <v>0</v>
      </c>
      <c r="AA13" s="222">
        <f t="shared" ref="AA13:AA76" si="4">SUM(Z13*X13)</f>
        <v>0</v>
      </c>
      <c r="AB13" s="109"/>
      <c r="AC13" s="223"/>
      <c r="AD13" s="223"/>
      <c r="AE13" s="224">
        <f t="shared" ref="AE13:AE76" si="5">SUM(AA13+AC13+AD13)</f>
        <v>0</v>
      </c>
    </row>
    <row r="14" spans="1:32" x14ac:dyDescent="0.25">
      <c r="A14" s="108"/>
      <c r="B14" s="109"/>
      <c r="C14" s="109"/>
      <c r="D14" s="109"/>
      <c r="E14" s="109"/>
      <c r="F14" s="109"/>
      <c r="G14" s="109"/>
      <c r="H14" s="109"/>
      <c r="I14" s="109"/>
      <c r="J14" s="109"/>
      <c r="K14" s="109"/>
      <c r="L14" s="109"/>
      <c r="M14" s="109"/>
      <c r="N14" s="109"/>
      <c r="O14" s="263"/>
      <c r="P14" s="263"/>
      <c r="Q14" s="263"/>
      <c r="R14" s="263"/>
      <c r="S14" s="256"/>
      <c r="T14" s="252"/>
      <c r="U14" s="219"/>
      <c r="V14" s="220"/>
      <c r="W14" s="221"/>
      <c r="X14" s="220"/>
      <c r="Y14" s="222">
        <f t="shared" si="2"/>
        <v>0</v>
      </c>
      <c r="Z14" s="222">
        <f t="shared" si="3"/>
        <v>0</v>
      </c>
      <c r="AA14" s="222">
        <f t="shared" si="4"/>
        <v>0</v>
      </c>
      <c r="AB14" s="109"/>
      <c r="AC14" s="223"/>
      <c r="AD14" s="223"/>
      <c r="AE14" s="224">
        <f t="shared" si="5"/>
        <v>0</v>
      </c>
    </row>
    <row r="15" spans="1:32" x14ac:dyDescent="0.25">
      <c r="A15" s="108"/>
      <c r="B15" s="109"/>
      <c r="C15" s="109"/>
      <c r="D15" s="109"/>
      <c r="E15" s="109"/>
      <c r="F15" s="109"/>
      <c r="G15" s="109"/>
      <c r="H15" s="109"/>
      <c r="I15" s="109"/>
      <c r="J15" s="109"/>
      <c r="K15" s="109"/>
      <c r="L15" s="109"/>
      <c r="M15" s="109"/>
      <c r="N15" s="109"/>
      <c r="O15" s="263"/>
      <c r="P15" s="263"/>
      <c r="Q15" s="263"/>
      <c r="R15" s="263"/>
      <c r="S15" s="256"/>
      <c r="T15" s="252"/>
      <c r="U15" s="219"/>
      <c r="V15" s="220"/>
      <c r="W15" s="221"/>
      <c r="X15" s="220"/>
      <c r="Y15" s="222">
        <f>SUM(T15*U15*W15)</f>
        <v>0</v>
      </c>
      <c r="Z15" s="222">
        <f t="shared" si="3"/>
        <v>0</v>
      </c>
      <c r="AA15" s="222">
        <f t="shared" si="4"/>
        <v>0</v>
      </c>
      <c r="AB15" s="109"/>
      <c r="AC15" s="223"/>
      <c r="AD15" s="223"/>
      <c r="AE15" s="224">
        <f t="shared" si="5"/>
        <v>0</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5.75"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5" x14ac:dyDescent="0.25">
      <c r="A89" s="144" t="s">
        <v>183</v>
      </c>
      <c r="B89" s="195"/>
      <c r="C89" s="195"/>
      <c r="D89" s="195"/>
      <c r="E89" s="195"/>
      <c r="F89" s="195"/>
      <c r="G89" s="195"/>
      <c r="H89" s="195"/>
      <c r="I89" s="195"/>
      <c r="J89" s="195"/>
      <c r="K89" s="195"/>
      <c r="L89" s="195"/>
      <c r="M89" s="195"/>
      <c r="N89" s="195"/>
      <c r="O89" s="195"/>
      <c r="P89" s="195"/>
      <c r="Q89" s="195"/>
      <c r="R89" s="195"/>
      <c r="S89" s="195"/>
      <c r="T89" s="195">
        <f>SUM(T12:T83)</f>
        <v>0</v>
      </c>
      <c r="U89" s="235"/>
      <c r="V89" s="236"/>
      <c r="W89" s="237"/>
      <c r="X89" s="236"/>
      <c r="Y89" s="236"/>
      <c r="Z89" s="235">
        <f>SUM(Z12:Z83)</f>
        <v>0</v>
      </c>
      <c r="AA89" s="235">
        <f>SUM(AA12:AA83)</f>
        <v>0</v>
      </c>
      <c r="AB89" s="195"/>
      <c r="AC89" s="235">
        <f>SUM(AC12:AC83)</f>
        <v>0</v>
      </c>
      <c r="AD89" s="235">
        <f>SUM(AD12:AD83)</f>
        <v>0</v>
      </c>
      <c r="AE89" s="238">
        <f>SUM(AE12:AE83)</f>
        <v>0</v>
      </c>
    </row>
    <row r="90" spans="1:31" x14ac:dyDescent="0.25">
      <c r="A90" s="72"/>
      <c r="U90" s="230"/>
      <c r="V90" s="232"/>
      <c r="W90" s="233"/>
      <c r="X90" s="232"/>
      <c r="Y90" s="232"/>
      <c r="Z90" s="230"/>
      <c r="AA90" s="230"/>
      <c r="AC90" s="234"/>
      <c r="AD90" s="234"/>
    </row>
    <row r="91" spans="1:31" ht="30" x14ac:dyDescent="0.25">
      <c r="A91" s="239" t="s">
        <v>184</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5.75" thickBot="1" x14ac:dyDescent="0.3">
      <c r="A92" s="244" t="s">
        <v>185</v>
      </c>
      <c r="B92" s="211"/>
      <c r="C92" s="211"/>
      <c r="D92" s="211"/>
      <c r="E92" s="211"/>
      <c r="F92" s="211"/>
      <c r="G92" s="211"/>
      <c r="H92" s="211"/>
      <c r="I92" s="211"/>
      <c r="J92" s="211"/>
      <c r="K92" s="211"/>
      <c r="L92" s="211"/>
      <c r="M92" s="211"/>
      <c r="N92" s="211"/>
      <c r="O92" s="211"/>
      <c r="P92" s="211"/>
      <c r="Q92" s="211"/>
      <c r="R92" s="211"/>
      <c r="S92" s="211"/>
      <c r="T92" s="211">
        <f>SUMIF($X$12:$X$83,50%,T$12:T$83)</f>
        <v>0</v>
      </c>
      <c r="U92" s="245"/>
      <c r="V92" s="246"/>
      <c r="W92" s="247"/>
      <c r="X92" s="246"/>
      <c r="Y92" s="246"/>
      <c r="Z92" s="245">
        <f>SUMIF($X$12:$X$83,50%,Z$12:Z$83)</f>
        <v>0</v>
      </c>
      <c r="AA92" s="245">
        <f>SUMIF($X$12:$X$83,50%,AA$12:AA$83)</f>
        <v>0</v>
      </c>
      <c r="AB92" s="211"/>
      <c r="AC92" s="245">
        <f>SUMIF($X$12:$X$83,50%,AC$12:AC$83)</f>
        <v>0</v>
      </c>
      <c r="AD92" s="245">
        <f>SUMIF($X$12:$X$83,50%,AD$12:AD$83)</f>
        <v>0</v>
      </c>
      <c r="AE92" s="297">
        <f>SUMIF($X$12:$X$83,50%,AE$12:AE$83)</f>
        <v>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B54"/>
    </sheetView>
  </sheetViews>
  <sheetFormatPr defaultRowHeight="15" x14ac:dyDescent="0.25"/>
  <cols>
    <col min="1" max="4" width="26.140625" customWidth="1"/>
  </cols>
  <sheetData>
    <row r="1" spans="1:4" ht="42" customHeight="1" x14ac:dyDescent="0.25">
      <c r="A1" s="57" t="s">
        <v>219</v>
      </c>
      <c r="B1" s="58" t="s">
        <v>220</v>
      </c>
      <c r="C1" s="58" t="s">
        <v>221</v>
      </c>
      <c r="D1" s="59" t="s">
        <v>222</v>
      </c>
    </row>
    <row r="2" spans="1:4" x14ac:dyDescent="0.25">
      <c r="A2" s="16" t="s">
        <v>223</v>
      </c>
      <c r="B2" s="67">
        <v>3001371</v>
      </c>
      <c r="C2" s="68">
        <v>5175184</v>
      </c>
      <c r="D2" s="68"/>
    </row>
    <row r="3" spans="1:4" x14ac:dyDescent="0.25">
      <c r="A3" s="16" t="s">
        <v>224</v>
      </c>
      <c r="B3" s="67">
        <v>444783</v>
      </c>
      <c r="C3" s="68">
        <v>1268815</v>
      </c>
      <c r="D3" s="68"/>
    </row>
    <row r="4" spans="1:4" x14ac:dyDescent="0.25">
      <c r="A4" s="16" t="s">
        <v>225</v>
      </c>
      <c r="B4" s="67">
        <v>2156511</v>
      </c>
      <c r="C4" s="68">
        <v>5146105</v>
      </c>
      <c r="D4" s="68"/>
    </row>
    <row r="5" spans="1:4" x14ac:dyDescent="0.25">
      <c r="A5" s="16" t="s">
        <v>226</v>
      </c>
      <c r="B5" s="67">
        <v>845153</v>
      </c>
      <c r="C5" s="68">
        <v>4397869</v>
      </c>
      <c r="D5" s="68"/>
    </row>
    <row r="6" spans="1:4" x14ac:dyDescent="0.25">
      <c r="A6" s="16" t="s">
        <v>227</v>
      </c>
      <c r="B6" s="67">
        <v>13912768</v>
      </c>
      <c r="C6" s="68">
        <v>80884238</v>
      </c>
      <c r="D6" s="68"/>
    </row>
    <row r="7" spans="1:4" x14ac:dyDescent="0.25">
      <c r="A7" s="16" t="s">
        <v>228</v>
      </c>
      <c r="B7" s="67">
        <v>1542315</v>
      </c>
      <c r="C7" s="68">
        <v>16812290</v>
      </c>
      <c r="D7" s="68"/>
    </row>
    <row r="8" spans="1:4" x14ac:dyDescent="0.25">
      <c r="A8" s="16" t="s">
        <v>229</v>
      </c>
      <c r="B8" s="67">
        <v>854101</v>
      </c>
      <c r="C8" s="68">
        <v>4310318</v>
      </c>
      <c r="D8" s="68"/>
    </row>
    <row r="9" spans="1:4" x14ac:dyDescent="0.25">
      <c r="A9" s="16" t="s">
        <v>230</v>
      </c>
      <c r="B9" s="67">
        <v>347825</v>
      </c>
      <c r="C9" s="68">
        <v>420968</v>
      </c>
      <c r="D9" s="68"/>
    </row>
    <row r="10" spans="1:4" x14ac:dyDescent="0.25">
      <c r="A10" s="16" t="s">
        <v>231</v>
      </c>
      <c r="B10" s="67">
        <v>444231</v>
      </c>
      <c r="C10" s="68">
        <v>10563518</v>
      </c>
      <c r="D10" s="68"/>
    </row>
    <row r="11" spans="1:4" x14ac:dyDescent="0.25">
      <c r="A11" s="16" t="s">
        <v>232</v>
      </c>
      <c r="B11" s="67">
        <v>6122540</v>
      </c>
      <c r="C11" s="68">
        <v>102386</v>
      </c>
      <c r="D11" s="68"/>
    </row>
    <row r="12" spans="1:4" x14ac:dyDescent="0.25">
      <c r="A12" s="16" t="s">
        <v>233</v>
      </c>
      <c r="B12" s="67">
        <v>4302066</v>
      </c>
      <c r="C12" s="68">
        <v>1598829</v>
      </c>
      <c r="D12" s="68"/>
    </row>
    <row r="13" spans="1:4" x14ac:dyDescent="0.25">
      <c r="A13" s="16" t="s">
        <v>234</v>
      </c>
      <c r="B13" s="67">
        <v>100000</v>
      </c>
      <c r="C13" s="68">
        <v>34436</v>
      </c>
      <c r="D13" s="68"/>
    </row>
    <row r="14" spans="1:4" x14ac:dyDescent="0.25">
      <c r="A14" s="16" t="s">
        <v>235</v>
      </c>
      <c r="B14" s="67">
        <v>540131</v>
      </c>
      <c r="C14" s="68">
        <v>1542770</v>
      </c>
      <c r="D14" s="68"/>
    </row>
    <row r="15" spans="1:4" x14ac:dyDescent="0.25">
      <c r="A15" s="16" t="s">
        <v>236</v>
      </c>
      <c r="B15" s="67">
        <v>915588</v>
      </c>
      <c r="C15" s="68">
        <v>330544</v>
      </c>
      <c r="D15" s="68"/>
    </row>
    <row r="16" spans="1:4" x14ac:dyDescent="0.25">
      <c r="A16" s="16" t="s">
        <v>237</v>
      </c>
      <c r="B16" s="67">
        <v>7867326</v>
      </c>
      <c r="C16" s="68">
        <v>24522816</v>
      </c>
      <c r="D16" s="68"/>
    </row>
    <row r="17" spans="1:4" x14ac:dyDescent="0.25">
      <c r="A17" s="16" t="s">
        <v>238</v>
      </c>
      <c r="B17" s="67">
        <v>1427245</v>
      </c>
      <c r="C17" s="68">
        <v>4281179</v>
      </c>
      <c r="D17" s="68"/>
    </row>
    <row r="18" spans="1:4" x14ac:dyDescent="0.25">
      <c r="A18" s="16" t="s">
        <v>239</v>
      </c>
      <c r="B18" s="67">
        <v>499493</v>
      </c>
      <c r="C18" s="68">
        <v>674351</v>
      </c>
      <c r="D18" s="68"/>
    </row>
    <row r="19" spans="1:4" x14ac:dyDescent="0.25">
      <c r="A19" s="16" t="s">
        <v>240</v>
      </c>
      <c r="B19" s="67">
        <v>590081</v>
      </c>
      <c r="C19" s="68">
        <v>613441</v>
      </c>
      <c r="D19" s="68"/>
    </row>
    <row r="20" spans="1:4" x14ac:dyDescent="0.25">
      <c r="A20" s="16" t="s">
        <v>241</v>
      </c>
      <c r="B20" s="67">
        <v>1414039</v>
      </c>
      <c r="C20" s="68">
        <v>948690</v>
      </c>
      <c r="D20" s="68"/>
    </row>
    <row r="21" spans="1:4" x14ac:dyDescent="0.25">
      <c r="A21" s="16" t="s">
        <v>242</v>
      </c>
      <c r="B21" s="67">
        <v>1504382</v>
      </c>
      <c r="C21" s="68">
        <v>11898970</v>
      </c>
      <c r="D21" s="68"/>
    </row>
    <row r="22" spans="1:4" x14ac:dyDescent="0.25">
      <c r="A22" s="16" t="s">
        <v>243</v>
      </c>
      <c r="B22" s="67">
        <v>400606</v>
      </c>
      <c r="C22" s="68">
        <v>760337</v>
      </c>
      <c r="D22" s="68"/>
    </row>
    <row r="23" spans="1:4" x14ac:dyDescent="0.25">
      <c r="A23" s="16" t="s">
        <v>244</v>
      </c>
      <c r="B23" s="67">
        <v>2216740</v>
      </c>
      <c r="C23" s="68">
        <v>11041639</v>
      </c>
      <c r="D23" s="68"/>
    </row>
    <row r="24" spans="1:4" x14ac:dyDescent="0.25">
      <c r="A24" s="16" t="s">
        <v>245</v>
      </c>
      <c r="B24" s="67">
        <v>2999809</v>
      </c>
      <c r="C24" s="68">
        <v>5942834</v>
      </c>
      <c r="D24" s="68"/>
    </row>
    <row r="25" spans="1:4" x14ac:dyDescent="0.25">
      <c r="A25" s="16" t="s">
        <v>246</v>
      </c>
      <c r="B25" s="67">
        <v>2042857</v>
      </c>
      <c r="C25" s="68">
        <v>1049618</v>
      </c>
      <c r="D25" s="68"/>
    </row>
    <row r="26" spans="1:4" x14ac:dyDescent="0.25">
      <c r="A26" s="16" t="s">
        <v>247</v>
      </c>
      <c r="B26" s="67">
        <v>1282819</v>
      </c>
      <c r="C26" s="68">
        <v>4105728</v>
      </c>
      <c r="D26" s="68"/>
    </row>
    <row r="27" spans="1:4" x14ac:dyDescent="0.25">
      <c r="A27" s="16" t="s">
        <v>248</v>
      </c>
      <c r="B27" s="67">
        <v>1306915</v>
      </c>
      <c r="C27" s="68">
        <v>1538338</v>
      </c>
      <c r="D27" s="68"/>
    </row>
    <row r="28" spans="1:4" x14ac:dyDescent="0.25">
      <c r="A28" s="16" t="s">
        <v>249</v>
      </c>
      <c r="B28" s="67">
        <v>1484312</v>
      </c>
      <c r="C28" s="68">
        <v>3623768</v>
      </c>
      <c r="D28" s="68"/>
    </row>
    <row r="29" spans="1:4" x14ac:dyDescent="0.25">
      <c r="A29" s="16" t="s">
        <v>1</v>
      </c>
      <c r="B29" s="67">
        <v>207108</v>
      </c>
      <c r="C29" s="68">
        <v>89636</v>
      </c>
      <c r="D29" s="68"/>
    </row>
    <row r="30" spans="1:4" x14ac:dyDescent="0.25">
      <c r="A30" s="16" t="s">
        <v>250</v>
      </c>
      <c r="B30" s="67">
        <v>295386</v>
      </c>
      <c r="C30" s="68">
        <v>516734</v>
      </c>
      <c r="D30" s="68"/>
    </row>
    <row r="31" spans="1:4" x14ac:dyDescent="0.25">
      <c r="A31" s="16" t="s">
        <v>251</v>
      </c>
      <c r="B31" s="67">
        <v>1503375</v>
      </c>
      <c r="C31" s="68">
        <v>50332</v>
      </c>
      <c r="D31" s="68"/>
    </row>
    <row r="32" spans="1:4" x14ac:dyDescent="0.25">
      <c r="A32" s="16" t="s">
        <v>252</v>
      </c>
      <c r="B32" s="67">
        <v>186517</v>
      </c>
      <c r="C32" s="68">
        <v>68428</v>
      </c>
      <c r="D32" s="68"/>
    </row>
    <row r="33" spans="1:4" x14ac:dyDescent="0.25">
      <c r="A33" s="16" t="s">
        <v>253</v>
      </c>
      <c r="B33" s="67">
        <v>593088</v>
      </c>
      <c r="C33" s="68">
        <v>28186767</v>
      </c>
      <c r="D33" s="68"/>
    </row>
    <row r="34" spans="1:4" x14ac:dyDescent="0.25">
      <c r="A34" s="16" t="s">
        <v>254</v>
      </c>
      <c r="B34" s="67">
        <v>1426444</v>
      </c>
      <c r="C34" s="68">
        <v>10000</v>
      </c>
      <c r="D34" s="68"/>
    </row>
    <row r="35" spans="1:4" x14ac:dyDescent="0.25">
      <c r="A35" s="16" t="s">
        <v>255</v>
      </c>
      <c r="B35" s="67">
        <v>6276963</v>
      </c>
      <c r="C35" s="68">
        <v>95814665</v>
      </c>
      <c r="D35" s="68"/>
    </row>
    <row r="36" spans="1:4" x14ac:dyDescent="0.25">
      <c r="A36" s="16" t="s">
        <v>256</v>
      </c>
      <c r="B36" s="67">
        <v>3835353</v>
      </c>
      <c r="C36" s="68">
        <v>5845582</v>
      </c>
      <c r="D36" s="68"/>
    </row>
    <row r="37" spans="1:4" x14ac:dyDescent="0.25">
      <c r="A37" s="16" t="s">
        <v>257</v>
      </c>
      <c r="B37" s="67">
        <v>100000</v>
      </c>
      <c r="C37" s="68">
        <v>577666</v>
      </c>
      <c r="D37" s="68"/>
    </row>
    <row r="38" spans="1:4" x14ac:dyDescent="0.25">
      <c r="A38" s="16" t="s">
        <v>258</v>
      </c>
      <c r="B38" s="67">
        <v>2726487</v>
      </c>
      <c r="C38" s="68">
        <v>11475700</v>
      </c>
      <c r="D38" s="68"/>
    </row>
    <row r="39" spans="1:4" x14ac:dyDescent="0.25">
      <c r="A39" s="16" t="s">
        <v>259</v>
      </c>
      <c r="B39" s="67">
        <v>1986510</v>
      </c>
      <c r="C39" s="68">
        <v>5771131</v>
      </c>
      <c r="D39" s="68"/>
    </row>
    <row r="40" spans="1:4" x14ac:dyDescent="0.25">
      <c r="A40" s="16" t="s">
        <v>260</v>
      </c>
      <c r="B40" s="67">
        <v>2564273</v>
      </c>
      <c r="C40" s="68">
        <v>36551572</v>
      </c>
      <c r="D40" s="68"/>
    </row>
    <row r="41" spans="1:4" x14ac:dyDescent="0.25">
      <c r="A41" s="16" t="s">
        <v>261</v>
      </c>
      <c r="B41" s="67">
        <v>5124029</v>
      </c>
      <c r="C41" s="68">
        <v>11217343</v>
      </c>
      <c r="D41" s="68"/>
    </row>
    <row r="42" spans="1:4" x14ac:dyDescent="0.25">
      <c r="A42" s="16" t="s">
        <v>262</v>
      </c>
      <c r="B42" s="67">
        <v>372392</v>
      </c>
      <c r="C42" s="68">
        <v>2412953</v>
      </c>
      <c r="D42" s="68"/>
    </row>
    <row r="43" spans="1:4" x14ac:dyDescent="0.25">
      <c r="A43" s="16" t="s">
        <v>263</v>
      </c>
      <c r="B43" s="67">
        <v>1578228</v>
      </c>
      <c r="C43" s="68">
        <v>1384566</v>
      </c>
      <c r="D43" s="68"/>
    </row>
    <row r="44" spans="1:4" x14ac:dyDescent="0.25">
      <c r="A44" s="16" t="s">
        <v>264</v>
      </c>
      <c r="B44" s="67">
        <v>176820</v>
      </c>
      <c r="C44" s="68">
        <v>10000</v>
      </c>
      <c r="D44" s="68"/>
    </row>
    <row r="45" spans="1:4" x14ac:dyDescent="0.25">
      <c r="A45" s="16" t="s">
        <v>265</v>
      </c>
      <c r="B45" s="67">
        <v>2371598</v>
      </c>
      <c r="C45" s="68">
        <v>10548543</v>
      </c>
      <c r="D45" s="68"/>
    </row>
    <row r="46" spans="1:4" x14ac:dyDescent="0.25">
      <c r="A46" s="16" t="s">
        <v>266</v>
      </c>
      <c r="B46" s="67">
        <v>5259331</v>
      </c>
      <c r="C46" s="68">
        <v>9194500</v>
      </c>
      <c r="D46" s="68"/>
    </row>
    <row r="47" spans="1:4" x14ac:dyDescent="0.25">
      <c r="A47" s="16" t="s">
        <v>267</v>
      </c>
      <c r="B47" s="67">
        <v>377464</v>
      </c>
      <c r="C47" s="68">
        <v>34822</v>
      </c>
      <c r="D47" s="68"/>
    </row>
    <row r="48" spans="1:4" x14ac:dyDescent="0.25">
      <c r="A48" s="16" t="s">
        <v>268</v>
      </c>
      <c r="B48" s="67">
        <v>147853</v>
      </c>
      <c r="C48" s="68">
        <v>2677993</v>
      </c>
      <c r="D48" s="68"/>
    </row>
    <row r="49" spans="1:4" x14ac:dyDescent="0.25">
      <c r="A49" s="16" t="s">
        <v>269</v>
      </c>
      <c r="B49" s="67">
        <v>838196</v>
      </c>
      <c r="C49" s="68">
        <v>9393064</v>
      </c>
      <c r="D49" s="68"/>
    </row>
    <row r="50" spans="1:4" x14ac:dyDescent="0.25">
      <c r="A50" s="16" t="s">
        <v>270</v>
      </c>
      <c r="B50" s="67">
        <v>100000</v>
      </c>
      <c r="C50" s="68">
        <v>10000</v>
      </c>
      <c r="D50" s="68"/>
    </row>
    <row r="51" spans="1:4" x14ac:dyDescent="0.25">
      <c r="A51" s="16" t="s">
        <v>271</v>
      </c>
      <c r="B51" s="67">
        <v>2615422</v>
      </c>
      <c r="C51" s="68">
        <v>30566086</v>
      </c>
      <c r="D51" s="68"/>
    </row>
    <row r="52" spans="1:4" x14ac:dyDescent="0.25">
      <c r="A52" s="16" t="s">
        <v>272</v>
      </c>
      <c r="B52" s="67">
        <v>629008</v>
      </c>
      <c r="C52" s="68">
        <v>471918</v>
      </c>
      <c r="D52" s="68"/>
    </row>
    <row r="53" spans="1:4" x14ac:dyDescent="0.25">
      <c r="A53" s="16" t="s">
        <v>273</v>
      </c>
      <c r="B53" s="67">
        <v>1942148</v>
      </c>
      <c r="C53" s="68">
        <v>33794149</v>
      </c>
      <c r="D53" s="68"/>
    </row>
    <row r="54" spans="1:4" x14ac:dyDescent="0.25">
      <c r="A54" s="16" t="s">
        <v>274</v>
      </c>
      <c r="B54" s="67">
        <v>100000</v>
      </c>
      <c r="C54" s="68">
        <v>398871</v>
      </c>
      <c r="D54" s="68"/>
    </row>
    <row r="56" spans="1:4" x14ac:dyDescent="0.25">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5" x14ac:dyDescent="0.25"/>
  <cols>
    <col min="1" max="1" width="10.42578125" customWidth="1"/>
    <col min="2" max="2" width="18.5703125" customWidth="1"/>
    <col min="3" max="3" width="18.7109375" customWidth="1"/>
    <col min="4" max="4" width="50.7109375" customWidth="1"/>
    <col min="5" max="5" width="40.28515625" customWidth="1"/>
    <col min="7" max="7" width="34" customWidth="1"/>
    <col min="8" max="8" width="18.5703125" customWidth="1"/>
    <col min="9" max="9" width="26.28515625" style="261" customWidth="1"/>
    <col min="10" max="10" width="28.5703125" customWidth="1"/>
    <col min="11" max="11" width="23.28515625" style="261" customWidth="1"/>
    <col min="14" max="14" width="98.7109375" customWidth="1"/>
    <col min="15" max="15" width="19.7109375" customWidth="1"/>
  </cols>
  <sheetData>
    <row r="1" spans="1:15" ht="42.6" customHeight="1" x14ac:dyDescent="0.25">
      <c r="A1" s="250" t="s">
        <v>2</v>
      </c>
      <c r="B1" s="250" t="s">
        <v>275</v>
      </c>
      <c r="C1" s="250" t="s">
        <v>276</v>
      </c>
      <c r="D1" s="65" t="s">
        <v>277</v>
      </c>
      <c r="E1" s="65" t="s">
        <v>278</v>
      </c>
      <c r="G1" s="250" t="s">
        <v>279</v>
      </c>
      <c r="H1" s="250" t="s">
        <v>280</v>
      </c>
      <c r="I1" s="261" t="s">
        <v>281</v>
      </c>
      <c r="J1" s="250" t="s">
        <v>282</v>
      </c>
      <c r="K1" s="265" t="s">
        <v>283</v>
      </c>
      <c r="N1" s="54" t="s">
        <v>284</v>
      </c>
      <c r="O1" s="47" t="s">
        <v>285</v>
      </c>
    </row>
    <row r="2" spans="1:15" ht="45" x14ac:dyDescent="0.25">
      <c r="A2" t="s">
        <v>286</v>
      </c>
      <c r="B2" t="s">
        <v>32</v>
      </c>
      <c r="C2" t="s">
        <v>287</v>
      </c>
      <c r="D2" t="s">
        <v>288</v>
      </c>
      <c r="E2" t="s">
        <v>289</v>
      </c>
      <c r="F2" s="66">
        <v>1</v>
      </c>
      <c r="G2" t="s">
        <v>290</v>
      </c>
      <c r="H2" t="s">
        <v>291</v>
      </c>
      <c r="I2" s="261" t="s">
        <v>292</v>
      </c>
      <c r="J2" t="s">
        <v>293</v>
      </c>
      <c r="K2" s="261" t="s">
        <v>294</v>
      </c>
      <c r="N2" s="8" t="s">
        <v>295</v>
      </c>
      <c r="O2" s="48">
        <f>SUM('A-Contracts-Partnerships Matrix'!D109)</f>
        <v>91719.08</v>
      </c>
    </row>
    <row r="3" spans="1:15" ht="45" x14ac:dyDescent="0.25">
      <c r="A3" t="s">
        <v>296</v>
      </c>
      <c r="B3" t="s">
        <v>30</v>
      </c>
      <c r="C3" t="s">
        <v>31</v>
      </c>
      <c r="D3" t="s">
        <v>297</v>
      </c>
      <c r="E3" t="s">
        <v>298</v>
      </c>
      <c r="F3" s="66">
        <v>0.5</v>
      </c>
      <c r="G3" t="s">
        <v>299</v>
      </c>
      <c r="H3" t="s">
        <v>300</v>
      </c>
      <c r="I3" s="261" t="s">
        <v>301</v>
      </c>
      <c r="J3" t="s">
        <v>302</v>
      </c>
      <c r="K3" s="261" t="s">
        <v>303</v>
      </c>
      <c r="N3" s="8" t="s">
        <v>304</v>
      </c>
      <c r="O3" s="49">
        <f>SUM('B - Operating Budget'!C15+'B - Operating Budget'!C18+'B - Operating Budget'!C23+'B - Operating Budget'!C27)-('B - Operating Budget'!B15+'B - Operating Budget'!B18+'B - Operating Budget'!B23+'B - Operating Budget'!B27)</f>
        <v>115388.92</v>
      </c>
    </row>
    <row r="4" spans="1:15" ht="30" x14ac:dyDescent="0.25">
      <c r="A4" t="s">
        <v>305</v>
      </c>
      <c r="C4" t="s">
        <v>306</v>
      </c>
      <c r="D4" t="s">
        <v>307</v>
      </c>
      <c r="G4" t="s">
        <v>308</v>
      </c>
      <c r="H4" t="s">
        <v>309</v>
      </c>
      <c r="I4" s="261" t="s">
        <v>310</v>
      </c>
      <c r="J4" t="s">
        <v>311</v>
      </c>
      <c r="K4" s="261" t="s">
        <v>312</v>
      </c>
      <c r="N4" s="8" t="s">
        <v>313</v>
      </c>
      <c r="O4" s="48">
        <f>SUM('D- Optional-County Adm Budget'!D117)</f>
        <v>0</v>
      </c>
    </row>
    <row r="5" spans="1:15" ht="21.6" customHeight="1" thickBot="1" x14ac:dyDescent="0.3">
      <c r="A5" t="s">
        <v>314</v>
      </c>
      <c r="C5" t="s">
        <v>315</v>
      </c>
      <c r="D5" t="s">
        <v>316</v>
      </c>
      <c r="J5" t="s">
        <v>317</v>
      </c>
      <c r="K5" s="261" t="s">
        <v>318</v>
      </c>
      <c r="N5" s="8" t="s">
        <v>319</v>
      </c>
      <c r="O5" s="55">
        <f>SUM(O2:O4)</f>
        <v>207108</v>
      </c>
    </row>
    <row r="6" spans="1:15" ht="18.600000000000001" customHeight="1" thickTop="1" x14ac:dyDescent="0.25">
      <c r="A6" t="s">
        <v>320</v>
      </c>
      <c r="C6" t="s">
        <v>321</v>
      </c>
      <c r="J6" t="s">
        <v>322</v>
      </c>
      <c r="K6" s="261" t="s">
        <v>323</v>
      </c>
      <c r="N6" s="46" t="s">
        <v>324</v>
      </c>
      <c r="O6" s="45"/>
    </row>
    <row r="7" spans="1:15" x14ac:dyDescent="0.25">
      <c r="A7" t="s">
        <v>3</v>
      </c>
      <c r="J7" t="s">
        <v>325</v>
      </c>
      <c r="K7" s="261" t="s">
        <v>326</v>
      </c>
      <c r="N7" s="8" t="s">
        <v>327</v>
      </c>
      <c r="O7" s="48">
        <f>SUM('A-Contracts-Partnerships Matrix'!N109+'A-Contracts-Partnerships Matrix'!P109)</f>
        <v>200000</v>
      </c>
    </row>
    <row r="8" spans="1:15" ht="30" x14ac:dyDescent="0.25">
      <c r="J8" t="s">
        <v>328</v>
      </c>
      <c r="K8" s="261" t="s">
        <v>329</v>
      </c>
      <c r="N8" s="8" t="s">
        <v>330</v>
      </c>
      <c r="O8" s="49">
        <f>SUM('B - Operating Budget'!C15+'B - Operating Budget'!C18+'B - Operating Budget'!C23+'B - Operating Budget'!C27)-O3</f>
        <v>0</v>
      </c>
    </row>
    <row r="9" spans="1:15" x14ac:dyDescent="0.25">
      <c r="J9" t="s">
        <v>331</v>
      </c>
      <c r="N9" s="8" t="s">
        <v>332</v>
      </c>
      <c r="O9" s="48">
        <f>SUM('D- Optional-County Adm Budget'!E117)/2</f>
        <v>0</v>
      </c>
    </row>
    <row r="10" spans="1:15" x14ac:dyDescent="0.25">
      <c r="J10" t="s">
        <v>333</v>
      </c>
      <c r="N10" s="8" t="s">
        <v>334</v>
      </c>
      <c r="O10" s="48">
        <f>IF('C -Fund Sources &amp; Total FY Fund'!$E$9&gt;0,'C -Fund Sources &amp; Total FY Fund'!$E$9/2,0)</f>
        <v>0</v>
      </c>
    </row>
    <row r="11" spans="1:15" ht="15.75" thickBot="1" x14ac:dyDescent="0.3">
      <c r="J11" t="s">
        <v>335</v>
      </c>
      <c r="N11" s="8" t="s">
        <v>336</v>
      </c>
      <c r="O11" s="55">
        <f>SUM(O7:O10)</f>
        <v>200000</v>
      </c>
    </row>
    <row r="12" spans="1:15" ht="15.75" thickTop="1" x14ac:dyDescent="0.25">
      <c r="N12" s="8"/>
      <c r="O12" s="45"/>
    </row>
    <row r="13" spans="1:15" x14ac:dyDescent="0.25">
      <c r="N13" s="50" t="s">
        <v>337</v>
      </c>
      <c r="O13" s="45"/>
    </row>
    <row r="14" spans="1:15" x14ac:dyDescent="0.25">
      <c r="N14" s="8" t="s">
        <v>338</v>
      </c>
      <c r="O14" s="48">
        <f>SUM('A-Contracts-Partnerships Matrix'!O109+'A-Contracts-Partnerships Matrix'!Q109)</f>
        <v>200000</v>
      </c>
    </row>
    <row r="15" spans="1:15" x14ac:dyDescent="0.25">
      <c r="N15" s="8" t="s">
        <v>339</v>
      </c>
      <c r="O15" s="49">
        <f>SUM('B - Operating Budget'!B15+'B - Operating Budget'!B18+'B - Operating Budget'!B23+'B - Operating Budget'!B27)</f>
        <v>0</v>
      </c>
    </row>
    <row r="16" spans="1:15" x14ac:dyDescent="0.25">
      <c r="N16" s="8" t="s">
        <v>340</v>
      </c>
      <c r="O16" s="48">
        <f>SUM('D- Optional-County Adm Budget'!E117)/2</f>
        <v>0</v>
      </c>
    </row>
    <row r="17" spans="14:15" x14ac:dyDescent="0.25">
      <c r="N17" s="8" t="s">
        <v>334</v>
      </c>
      <c r="O17" s="48">
        <f>IF('C -Fund Sources &amp; Total FY Fund'!$E$9&gt;0,'C -Fund Sources &amp; Total FY Fund'!$E$9/2,0)</f>
        <v>0</v>
      </c>
    </row>
    <row r="18" spans="14:15" ht="15.75" thickBot="1" x14ac:dyDescent="0.3">
      <c r="N18" s="8" t="s">
        <v>341</v>
      </c>
      <c r="O18" s="55">
        <f>SUM(O14:O17)</f>
        <v>200000</v>
      </c>
    </row>
    <row r="19" spans="14:15" ht="16.5" thickTop="1" thickBot="1" x14ac:dyDescent="0.3">
      <c r="N19" s="51" t="s">
        <v>342</v>
      </c>
      <c r="O19" s="52">
        <f>SUM(O5+O11+O18)</f>
        <v>607108</v>
      </c>
    </row>
    <row r="20" spans="14:15" ht="15.75" thickBot="1" x14ac:dyDescent="0.3"/>
    <row r="21" spans="14:15" x14ac:dyDescent="0.25">
      <c r="N21" s="370" t="s">
        <v>343</v>
      </c>
      <c r="O21" s="371"/>
    </row>
    <row r="22" spans="14:15" x14ac:dyDescent="0.25">
      <c r="N22" s="372"/>
      <c r="O22" s="373"/>
    </row>
    <row r="23" spans="14:15" x14ac:dyDescent="0.25">
      <c r="N23" s="372"/>
      <c r="O23" s="373"/>
    </row>
    <row r="24" spans="14:15" x14ac:dyDescent="0.25">
      <c r="N24" s="372"/>
      <c r="O24" s="373"/>
    </row>
    <row r="25" spans="14:15" x14ac:dyDescent="0.25">
      <c r="N25" s="372"/>
      <c r="O25" s="373"/>
    </row>
    <row r="26" spans="14:15" x14ac:dyDescent="0.25">
      <c r="N26" s="372"/>
      <c r="O26" s="373"/>
    </row>
    <row r="27" spans="14:15" x14ac:dyDescent="0.25">
      <c r="N27" s="372"/>
      <c r="O27" s="373"/>
    </row>
    <row r="28" spans="14:15" x14ac:dyDescent="0.25">
      <c r="N28" s="372"/>
      <c r="O28" s="373"/>
    </row>
    <row r="29" spans="14:15" ht="15.75" thickBot="1" x14ac:dyDescent="0.3">
      <c r="N29" s="374"/>
      <c r="O29" s="375"/>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D636169BC4949830EC19200161F76" ma:contentTypeVersion="5" ma:contentTypeDescription="Create a new document." ma:contentTypeScope="" ma:versionID="70c5bd1c7304f140a1b7b8d802b74f93">
  <xsd:schema xmlns:xsd="http://www.w3.org/2001/XMLSchema" xmlns:xs="http://www.w3.org/2001/XMLSchema" xmlns:p="http://schemas.microsoft.com/office/2006/metadata/properties" xmlns:ns3="b2c5ab5c-a418-42bf-aa93-afce4903dab0" xmlns:ns4="2e45aec4-043f-4308-ad34-60a9bf4b068e" targetNamespace="http://schemas.microsoft.com/office/2006/metadata/properties" ma:root="true" ma:fieldsID="17deaeac7db2bc45376626892ca41d92" ns3:_="" ns4:_="">
    <xsd:import namespace="b2c5ab5c-a418-42bf-aa93-afce4903dab0"/>
    <xsd:import namespace="2e45aec4-043f-4308-ad34-60a9bf4b068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5ab5c-a418-42bf-aa93-afce4903d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45aec4-043f-4308-ad34-60a9bf4b06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72B19E-0297-4022-A614-0738FD2D6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5ab5c-a418-42bf-aa93-afce4903dab0"/>
    <ds:schemaRef ds:uri="2e45aec4-043f-4308-ad34-60a9bf4b0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3.xml><?xml version="1.0" encoding="utf-8"?>
<ds:datastoreItem xmlns:ds="http://schemas.openxmlformats.org/officeDocument/2006/customXml" ds:itemID="{CB29C5A2-5A47-49CE-95CF-41A36848027F}">
  <ds:schemaRefs>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b2c5ab5c-a418-42bf-aa93-afce4903dab0"/>
    <ds:schemaRef ds:uri="http://schemas.openxmlformats.org/package/2006/metadata/core-properties"/>
    <ds:schemaRef ds:uri="http://purl.org/dc/elements/1.1/"/>
    <ds:schemaRef ds:uri="2e45aec4-043f-4308-ad34-60a9bf4b06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Ricker, Brad</cp:lastModifiedBy>
  <cp:revision/>
  <dcterms:created xsi:type="dcterms:W3CDTF">2019-10-18T16:48:06Z</dcterms:created>
  <dcterms:modified xsi:type="dcterms:W3CDTF">2024-10-10T17:02:05Z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0x010100DABD636169BC4949830EC19200161F76</vt:lpwstr>
  </property>
</Properties>
</file>